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585" yWindow="-15" windowWidth="9630" windowHeight="12000"/>
  </bookViews>
  <sheets>
    <sheet name="calculator" sheetId="1" r:id="rId1"/>
    <sheet name="Data" sheetId="2" state="hidden" r:id="rId2"/>
    <sheet name="Revision history" sheetId="3" r:id="rId3"/>
  </sheets>
  <externalReferences>
    <externalReference r:id="rId4"/>
  </externalReferences>
  <definedNames>
    <definedName name="AverRead">[1]Sheet2!$B$8:$B$18</definedName>
    <definedName name="avg">Data!$A$139:$A$149</definedName>
    <definedName name="Dist">[1]Sheet2!$B$20:'[1]Sheet2'!$B$22</definedName>
    <definedName name="DistVal">[1]Sheet2!$B$20:'[1]Sheet2'!$C$22</definedName>
    <definedName name="div">Data!$A$252:$A$253</definedName>
    <definedName name="divisor">Data!$B$252:$B$253</definedName>
    <definedName name="e">Data!$B$252:$B$253</definedName>
    <definedName name="Gamma50MHz">Data!$A$274:$A$276</definedName>
    <definedName name="GammaDistr">Data!$A$264:$A$266</definedName>
    <definedName name="GammaSensor">Data!$A$269:$A$271</definedName>
    <definedName name="GammaStyles">Data!$A$256:$A$261</definedName>
    <definedName name="HzUnit">[1]Sheet2!$B$2:$B$4</definedName>
    <definedName name="mode">Data!$A$137,Data!$C$138</definedName>
    <definedName name="Model">Data!$B$9:$BA$9</definedName>
    <definedName name="name">Data!$BA$14</definedName>
    <definedName name="PowerMeter">Data!$D$4:$D$6</definedName>
    <definedName name="RH">[1]Sheet2!$B$24:$B$25</definedName>
    <definedName name="SensModel">[1]Sheet2!$C$52:$AA$52</definedName>
    <definedName name="type">Data!$A$134:$B$134</definedName>
  </definedNames>
  <calcPr calcId="145621"/>
</workbook>
</file>

<file path=xl/calcChain.xml><?xml version="1.0" encoding="utf-8"?>
<calcChain xmlns="http://schemas.openxmlformats.org/spreadsheetml/2006/main">
  <c r="B388" i="2" l="1"/>
  <c r="B387" i="2"/>
  <c r="B334" i="2"/>
  <c r="B333" i="2"/>
  <c r="C117" i="2" l="1"/>
  <c r="E117" i="2"/>
  <c r="D117" i="2"/>
  <c r="E106" i="2"/>
  <c r="E105" i="2"/>
  <c r="D106" i="2"/>
  <c r="D105" i="2"/>
  <c r="C106" i="2"/>
  <c r="C105" i="2"/>
  <c r="B348" i="2"/>
  <c r="B294" i="2"/>
  <c r="C27" i="1"/>
  <c r="C26" i="1"/>
  <c r="B379" i="2"/>
  <c r="B325" i="2"/>
  <c r="AN69" i="2"/>
  <c r="AN68" i="2"/>
  <c r="AN67" i="2"/>
  <c r="AN66" i="2"/>
  <c r="AN65" i="2"/>
  <c r="AN64" i="2"/>
  <c r="E116" i="2"/>
  <c r="D116" i="2"/>
  <c r="C116" i="2"/>
  <c r="C103" i="2"/>
  <c r="D103" i="2"/>
  <c r="E103" i="2"/>
  <c r="C104" i="2"/>
  <c r="D104" i="2"/>
  <c r="E104" i="2"/>
  <c r="C107" i="2"/>
  <c r="D107" i="2"/>
  <c r="E107" i="2"/>
  <c r="C108" i="2"/>
  <c r="D108" i="2"/>
  <c r="E108" i="2"/>
  <c r="E102" i="2"/>
  <c r="C29" i="1" s="1"/>
  <c r="D102" i="2"/>
  <c r="C25" i="1" s="1"/>
  <c r="C102" i="2"/>
  <c r="C28" i="1" s="1"/>
  <c r="F6" i="1"/>
  <c r="F5" i="1"/>
  <c r="F4" i="1"/>
  <c r="D275" i="2"/>
  <c r="D270" i="2"/>
  <c r="D265" i="2"/>
  <c r="D260" i="2"/>
  <c r="C4" i="1"/>
  <c r="B244" i="2"/>
  <c r="B245" i="2" s="1"/>
  <c r="B237" i="2"/>
  <c r="B238" i="2" s="1"/>
  <c r="C6" i="1"/>
  <c r="E13" i="1"/>
  <c r="B276" i="2"/>
  <c r="B274" i="2"/>
  <c r="C276" i="2"/>
  <c r="C274" i="2"/>
  <c r="B2" i="1"/>
  <c r="B269" i="2"/>
  <c r="B271" i="2"/>
  <c r="D271" i="2" s="1"/>
  <c r="C271" i="2"/>
  <c r="C269" i="2"/>
  <c r="D19" i="1"/>
  <c r="C266" i="2"/>
  <c r="C264" i="2"/>
  <c r="B264" i="2"/>
  <c r="D264" i="2" s="1"/>
  <c r="D259" i="2"/>
  <c r="D258" i="2"/>
  <c r="D257" i="2"/>
  <c r="B266" i="2" s="1"/>
  <c r="D266" i="2" s="1"/>
  <c r="D21" i="1"/>
  <c r="D18" i="1"/>
  <c r="B292" i="2"/>
  <c r="B346" i="2"/>
  <c r="D276" i="2" l="1"/>
  <c r="D269" i="2"/>
  <c r="E18" i="1" s="1"/>
  <c r="D274" i="2"/>
  <c r="B385" i="2"/>
  <c r="B386" i="2"/>
  <c r="B332" i="2"/>
  <c r="B331" i="2"/>
  <c r="E115" i="2"/>
  <c r="B321" i="2"/>
  <c r="B323" i="2"/>
  <c r="B317" i="2"/>
  <c r="B311" i="2"/>
  <c r="B315" i="2"/>
  <c r="B309" i="2"/>
  <c r="B326" i="2"/>
  <c r="B320" i="2"/>
  <c r="B322" i="2"/>
  <c r="B316" i="2"/>
  <c r="B310" i="2"/>
  <c r="B314" i="2"/>
  <c r="B324" i="2"/>
  <c r="B308" i="2"/>
  <c r="B337" i="2"/>
  <c r="B283" i="2"/>
  <c r="B371" i="2"/>
  <c r="B365" i="2"/>
  <c r="B369" i="2"/>
  <c r="B363" i="2"/>
  <c r="B370" i="2"/>
  <c r="B364" i="2"/>
  <c r="B368" i="2"/>
  <c r="B362" i="2"/>
  <c r="B375" i="2"/>
  <c r="B377" i="2"/>
  <c r="B380" i="2"/>
  <c r="B374" i="2"/>
  <c r="B376" i="2"/>
  <c r="B378" i="2"/>
  <c r="E122" i="2"/>
  <c r="E121" i="2"/>
  <c r="D122" i="2"/>
  <c r="D121" i="2"/>
  <c r="C122" i="2"/>
  <c r="C121" i="2"/>
  <c r="E120" i="2"/>
  <c r="D120" i="2"/>
  <c r="C120" i="2"/>
  <c r="E119" i="2"/>
  <c r="D119" i="2"/>
  <c r="C119" i="2"/>
  <c r="E118" i="2"/>
  <c r="D118" i="2"/>
  <c r="C118" i="2"/>
  <c r="D115" i="2"/>
  <c r="C115" i="2"/>
  <c r="C111" i="2"/>
  <c r="C110" i="2"/>
  <c r="D111" i="2"/>
  <c r="D110" i="2"/>
  <c r="E111" i="2"/>
  <c r="E110" i="2"/>
  <c r="E109" i="2"/>
  <c r="D109" i="2"/>
  <c r="C109" i="2"/>
  <c r="AZ68" i="2"/>
  <c r="BA68" i="2"/>
  <c r="AS68" i="2"/>
  <c r="AT68" i="2"/>
  <c r="AU68" i="2"/>
  <c r="AA68" i="2"/>
  <c r="AB68" i="2"/>
  <c r="AC68" i="2"/>
  <c r="AD68" i="2"/>
  <c r="AE68" i="2"/>
  <c r="AF68" i="2"/>
  <c r="AM68" i="2"/>
  <c r="BA69" i="2"/>
  <c r="AZ69" i="2"/>
  <c r="BA67" i="2"/>
  <c r="AZ67" i="2"/>
  <c r="BA66" i="2"/>
  <c r="AZ66" i="2"/>
  <c r="BA65" i="2"/>
  <c r="AZ65" i="2"/>
  <c r="BA64" i="2"/>
  <c r="AZ64" i="2"/>
  <c r="AU69" i="2"/>
  <c r="AU67" i="2"/>
  <c r="AU66" i="2"/>
  <c r="AU65" i="2"/>
  <c r="AU64" i="2"/>
  <c r="AT69" i="2"/>
  <c r="AS69" i="2"/>
  <c r="AT67" i="2"/>
  <c r="AS67" i="2"/>
  <c r="AT66" i="2"/>
  <c r="AS66" i="2"/>
  <c r="AT65" i="2"/>
  <c r="AS65" i="2"/>
  <c r="AT64" i="2"/>
  <c r="AS64" i="2"/>
  <c r="AM69" i="2"/>
  <c r="AM67" i="2"/>
  <c r="AM66" i="2"/>
  <c r="AM65" i="2"/>
  <c r="AM64" i="2"/>
  <c r="A17" i="2"/>
  <c r="A18" i="2"/>
  <c r="A169" i="2"/>
  <c r="B312" i="2"/>
  <c r="B297" i="2"/>
  <c r="C24" i="1"/>
  <c r="C23" i="1"/>
  <c r="C22" i="1"/>
  <c r="B358" i="2"/>
  <c r="B355" i="2"/>
  <c r="B357" i="2"/>
  <c r="B354" i="2"/>
  <c r="B359" i="2"/>
  <c r="B356" i="2"/>
  <c r="B353" i="2"/>
  <c r="D13" i="1" s="1"/>
  <c r="B352" i="2"/>
  <c r="B351" i="2"/>
  <c r="B382" i="2"/>
  <c r="B384" i="2"/>
  <c r="B350" i="2"/>
  <c r="B347" i="2"/>
  <c r="B339" i="2"/>
  <c r="B343" i="2"/>
  <c r="B340" i="2"/>
  <c r="B342" i="2"/>
  <c r="B338" i="2"/>
  <c r="B383" i="2"/>
  <c r="B349" i="2"/>
  <c r="B345" i="2"/>
  <c r="B344" i="2"/>
  <c r="B341" i="2"/>
  <c r="B373" i="2"/>
  <c r="B367" i="2"/>
  <c r="B361" i="2"/>
  <c r="B366" i="2"/>
  <c r="B360" i="2"/>
  <c r="B381" i="2"/>
  <c r="B288" i="2"/>
  <c r="B290" i="2"/>
  <c r="B287" i="2"/>
  <c r="B372" i="2"/>
  <c r="B304" i="2"/>
  <c r="B301" i="2"/>
  <c r="B303" i="2"/>
  <c r="B300" i="2"/>
  <c r="B305" i="2"/>
  <c r="B302" i="2"/>
  <c r="B299" i="2"/>
  <c r="D12" i="1" s="1"/>
  <c r="B298" i="2"/>
  <c r="B328" i="2"/>
  <c r="B330" i="2"/>
  <c r="B296" i="2"/>
  <c r="B293" i="2"/>
  <c r="B285" i="2"/>
  <c r="B289" i="2"/>
  <c r="B286" i="2"/>
  <c r="B284" i="2"/>
  <c r="B327" i="2"/>
  <c r="B329" i="2"/>
  <c r="B295" i="2"/>
  <c r="B291" i="2"/>
  <c r="B319" i="2"/>
  <c r="B313" i="2"/>
  <c r="B306" i="2"/>
  <c r="B307" i="2"/>
  <c r="B242" i="2"/>
  <c r="AA65" i="2"/>
  <c r="B252" i="2"/>
  <c r="E23" i="1"/>
  <c r="E24" i="1"/>
  <c r="E25" i="1"/>
  <c r="E26" i="1"/>
  <c r="E27" i="1"/>
  <c r="E28" i="1"/>
  <c r="E29" i="1"/>
  <c r="E22" i="1"/>
  <c r="B250" i="2"/>
  <c r="C20" i="1" s="1"/>
  <c r="C15" i="1"/>
  <c r="D250" i="2"/>
  <c r="C250" i="2"/>
  <c r="A15" i="2"/>
  <c r="A11" i="2"/>
  <c r="A14" i="2"/>
  <c r="AD64" i="2"/>
  <c r="AE64" i="2"/>
  <c r="AF64" i="2"/>
  <c r="AD65" i="2"/>
  <c r="AE65" i="2"/>
  <c r="AF65" i="2"/>
  <c r="AD66" i="2"/>
  <c r="AE66" i="2"/>
  <c r="AF66" i="2"/>
  <c r="AD67" i="2"/>
  <c r="AE67" i="2"/>
  <c r="AF67" i="2"/>
  <c r="AD69" i="2"/>
  <c r="AE69" i="2"/>
  <c r="AF69" i="2"/>
  <c r="AB64" i="2"/>
  <c r="AC64" i="2"/>
  <c r="AB65" i="2"/>
  <c r="AC65" i="2"/>
  <c r="AB66" i="2"/>
  <c r="AC66" i="2"/>
  <c r="AB67" i="2"/>
  <c r="AC67" i="2"/>
  <c r="AB69" i="2"/>
  <c r="AC69" i="2"/>
  <c r="AA67" i="2"/>
  <c r="AA69" i="2"/>
  <c r="AA66" i="2"/>
  <c r="AA64" i="2"/>
  <c r="A159" i="2"/>
  <c r="A10" i="2"/>
  <c r="B318" i="2"/>
  <c r="A168" i="2"/>
  <c r="A162" i="2"/>
  <c r="A161" i="2"/>
  <c r="A160" i="2"/>
  <c r="A13" i="2"/>
  <c r="A12" i="2"/>
  <c r="A16" i="2"/>
  <c r="C18" i="1"/>
  <c r="E20" i="1" l="1"/>
  <c r="F32" i="1"/>
  <c r="C240" i="2"/>
  <c r="B240" i="2" s="1"/>
  <c r="C21" i="1" s="1"/>
  <c r="B241" i="2"/>
  <c r="C239" i="2"/>
  <c r="B239" i="2" s="1"/>
  <c r="C19" i="1" s="1"/>
  <c r="F26" i="1"/>
  <c r="F27" i="1"/>
  <c r="F22" i="1"/>
  <c r="F28" i="1"/>
  <c r="F24" i="1"/>
  <c r="F29" i="1"/>
  <c r="F25" i="1"/>
  <c r="F23" i="1"/>
  <c r="F18" i="1" l="1"/>
  <c r="F20" i="1"/>
  <c r="F31" i="1" l="1"/>
  <c r="F33" i="1" s="1"/>
  <c r="F34" i="1" l="1"/>
  <c r="F35" i="1"/>
</calcChain>
</file>

<file path=xl/comments1.xml><?xml version="1.0" encoding="utf-8"?>
<comments xmlns="http://schemas.openxmlformats.org/spreadsheetml/2006/main">
  <authors>
    <author>Joe Gorin</author>
  </authors>
  <commentList>
    <comment ref="D10" authorId="0">
      <text>
        <r>
          <rPr>
            <b/>
            <u/>
            <sz val="8"/>
            <color indexed="81"/>
            <rFont val="Tahoma"/>
            <family val="2"/>
          </rPr>
          <t>Match Specification Style</t>
        </r>
        <r>
          <rPr>
            <b/>
            <sz val="8"/>
            <color indexed="81"/>
            <rFont val="Tahoma"/>
            <family val="2"/>
          </rPr>
          <t xml:space="preserve">:
</t>
        </r>
        <r>
          <rPr>
            <sz val="8"/>
            <color indexed="81"/>
            <rFont val="Tahoma"/>
            <family val="2"/>
          </rPr>
          <t>Set to 95th percentile or median if the specification is given in that format. "Maximum" is used for specifications given as warranted values. 80th percentile is useful for "typical" specifications when "typical" is defined as 80th percentile, such as in Agilent Signal Sources. "Typical" for Agilent Power Sensors is the Mean.</t>
        </r>
      </text>
    </comment>
    <comment ref="E10" authorId="0">
      <text>
        <r>
          <rPr>
            <b/>
            <u/>
            <sz val="8"/>
            <color indexed="81"/>
            <rFont val="Tahoma"/>
            <family val="2"/>
          </rPr>
          <t xml:space="preserve">Distribution of </t>
        </r>
        <r>
          <rPr>
            <b/>
            <u/>
            <sz val="8"/>
            <color indexed="81"/>
            <rFont val="Arial"/>
            <family val="2"/>
          </rPr>
          <t>ρ</t>
        </r>
        <r>
          <rPr>
            <b/>
            <sz val="8"/>
            <color indexed="81"/>
            <rFont val="Tahoma"/>
            <family val="2"/>
          </rPr>
          <t>:</t>
        </r>
        <r>
          <rPr>
            <sz val="8"/>
            <color indexed="81"/>
            <rFont val="Tahoma"/>
            <family val="2"/>
          </rPr>
          <t xml:space="preserve">
The statistical distribution of the reflection coefficient, </t>
        </r>
        <r>
          <rPr>
            <sz val="8"/>
            <color indexed="81"/>
            <rFont val="Arial"/>
            <family val="2"/>
          </rPr>
          <t>ρ</t>
        </r>
        <r>
          <rPr>
            <sz val="8"/>
            <color indexed="81"/>
            <rFont val="Tahoma"/>
            <family val="2"/>
          </rPr>
          <t>, affects the uncertainty. In most cases, the pdf of ρ is a Rayleigh function, so this is the recommended setting for this column. Fixed setting is useful when the match is of known magnitude. Uniform inside a circle is useful when comparing with analyses using Case A of Agilent Application Note 1449-3. The letters A, B and C refer to the cases explained in that Application Note.</t>
        </r>
      </text>
    </comment>
  </commentList>
</comments>
</file>

<file path=xl/comments2.xml><?xml version="1.0" encoding="utf-8"?>
<comments xmlns="http://schemas.openxmlformats.org/spreadsheetml/2006/main">
  <authors>
    <author>sookhua</author>
    <author>Joe Gorin</author>
  </authors>
  <commentList>
    <comment ref="E4" authorId="0">
      <text>
        <r>
          <rPr>
            <sz val="8"/>
            <color indexed="81"/>
            <rFont val="Tahoma"/>
            <family val="2"/>
          </rPr>
          <t>absolute accuracy</t>
        </r>
      </text>
    </comment>
    <comment ref="G4" authorId="0">
      <text>
        <r>
          <rPr>
            <sz val="8"/>
            <color indexed="81"/>
            <rFont val="Tahoma"/>
            <family val="2"/>
          </rPr>
          <t xml:space="preserve">23+/-3degC
</t>
        </r>
      </text>
    </comment>
    <comment ref="G5" authorId="0">
      <text>
        <r>
          <rPr>
            <sz val="8"/>
            <color indexed="81"/>
            <rFont val="Tahoma"/>
            <family val="2"/>
          </rPr>
          <t>23+/-3degC</t>
        </r>
        <r>
          <rPr>
            <sz val="8"/>
            <color indexed="81"/>
            <rFont val="Tahoma"/>
            <family val="2"/>
          </rPr>
          <t xml:space="preserve">
</t>
        </r>
      </text>
    </comment>
    <comment ref="E6" authorId="0">
      <text>
        <r>
          <rPr>
            <sz val="8"/>
            <color indexed="81"/>
            <rFont val="Tahoma"/>
            <family val="2"/>
          </rPr>
          <t xml:space="preserve">0.5% for CW measurements.
0.8% for peak measurements
</t>
        </r>
      </text>
    </comment>
    <comment ref="G6" authorId="0">
      <text>
        <r>
          <rPr>
            <sz val="8"/>
            <color indexed="81"/>
            <rFont val="Tahoma"/>
            <family val="2"/>
          </rPr>
          <t>25+/-10degC</t>
        </r>
      </text>
    </comment>
    <comment ref="D138" authorId="0">
      <text>
        <r>
          <rPr>
            <b/>
            <sz val="8"/>
            <color indexed="81"/>
            <rFont val="Tahoma"/>
            <family val="2"/>
          </rPr>
          <t>Not used. This is default mode for use with E9320 series for peak, avg, time-related measurements.</t>
        </r>
      </text>
    </comment>
    <comment ref="E138" authorId="0">
      <text>
        <r>
          <rPr>
            <b/>
            <sz val="8"/>
            <color indexed="81"/>
            <rFont val="Tahoma"/>
            <family val="2"/>
          </rPr>
          <t>Not used. This is for use with N1921/22A sensor only.</t>
        </r>
        <r>
          <rPr>
            <sz val="8"/>
            <color indexed="81"/>
            <rFont val="Tahoma"/>
            <family val="2"/>
          </rPr>
          <t xml:space="preserve">
</t>
        </r>
      </text>
    </comment>
    <comment ref="A248" authorId="0">
      <text>
        <r>
          <rPr>
            <b/>
            <sz val="8"/>
            <color indexed="81"/>
            <rFont val="Tahoma"/>
            <family val="2"/>
          </rPr>
          <t xml:space="preserve">0 to 55degC
</t>
        </r>
        <r>
          <rPr>
            <sz val="8"/>
            <color indexed="81"/>
            <rFont val="Tahoma"/>
            <family val="2"/>
          </rPr>
          <t xml:space="preserve">
</t>
        </r>
      </text>
    </comment>
    <comment ref="B263" authorId="1">
      <text>
        <r>
          <rPr>
            <b/>
            <sz val="8"/>
            <color indexed="81"/>
            <rFont val="Tahoma"/>
            <family val="2"/>
          </rPr>
          <t>Joe Gorin:</t>
        </r>
        <r>
          <rPr>
            <sz val="8"/>
            <color indexed="81"/>
            <rFont val="Tahoma"/>
            <family val="2"/>
          </rPr>
          <t xml:space="preserve">
Factor by which Gamma is multiplied to give the Gamma for which the formulas apply. For example, the Rayleigh formula applies for 95th percentile Gamma.</t>
        </r>
      </text>
    </comment>
    <comment ref="C263" authorId="1">
      <text>
        <r>
          <rPr>
            <b/>
            <sz val="8"/>
            <color indexed="81"/>
            <rFont val="Tahoma"/>
            <family val="2"/>
          </rPr>
          <t>Joe Gorin:</t>
        </r>
        <r>
          <rPr>
            <sz val="8"/>
            <color indexed="81"/>
            <rFont val="Tahoma"/>
            <family val="2"/>
          </rPr>
          <t xml:space="preserve">
Multiplier of the measurement uncertainty.</t>
        </r>
      </text>
    </comment>
    <comment ref="B268" authorId="1">
      <text>
        <r>
          <rPr>
            <b/>
            <sz val="8"/>
            <color indexed="81"/>
            <rFont val="Tahoma"/>
            <family val="2"/>
          </rPr>
          <t>Joe Gorin:</t>
        </r>
        <r>
          <rPr>
            <sz val="8"/>
            <color indexed="81"/>
            <rFont val="Tahoma"/>
            <family val="2"/>
          </rPr>
          <t xml:space="preserve">
Factor by which Gamma is multiplied to give the Gamma for which the formulas apply. For example, the Rayleigh formula applies for 95th percentile Gamma.</t>
        </r>
      </text>
    </comment>
    <comment ref="C268" authorId="1">
      <text>
        <r>
          <rPr>
            <b/>
            <sz val="8"/>
            <color indexed="81"/>
            <rFont val="Tahoma"/>
            <family val="2"/>
          </rPr>
          <t>Joe Gorin:</t>
        </r>
        <r>
          <rPr>
            <sz val="8"/>
            <color indexed="81"/>
            <rFont val="Tahoma"/>
            <family val="2"/>
          </rPr>
          <t xml:space="preserve">
Multiplier of the measurement uncertainty.</t>
        </r>
      </text>
    </comment>
    <comment ref="B273" authorId="1">
      <text>
        <r>
          <rPr>
            <b/>
            <sz val="8"/>
            <color indexed="81"/>
            <rFont val="Tahoma"/>
            <family val="2"/>
          </rPr>
          <t>Joe Gorin:</t>
        </r>
        <r>
          <rPr>
            <sz val="8"/>
            <color indexed="81"/>
            <rFont val="Tahoma"/>
            <family val="2"/>
          </rPr>
          <t xml:space="preserve">
Factor by which Gamma is multiplied to give the Gamma for which the formulas apply. For example, the Rayleigh formula applies for 95th percentile Gamma.</t>
        </r>
      </text>
    </comment>
    <comment ref="C273" authorId="1">
      <text>
        <r>
          <rPr>
            <b/>
            <sz val="8"/>
            <color indexed="81"/>
            <rFont val="Tahoma"/>
            <family val="2"/>
          </rPr>
          <t>Joe Gorin:</t>
        </r>
        <r>
          <rPr>
            <sz val="8"/>
            <color indexed="81"/>
            <rFont val="Tahoma"/>
            <family val="2"/>
          </rPr>
          <t xml:space="preserve">
Multiplier of the measurement uncertainty.</t>
        </r>
      </text>
    </comment>
  </commentList>
</comments>
</file>

<file path=xl/sharedStrings.xml><?xml version="1.0" encoding="utf-8"?>
<sst xmlns="http://schemas.openxmlformats.org/spreadsheetml/2006/main" count="5192" uniqueCount="217">
  <si>
    <t>Frequency</t>
  </si>
  <si>
    <t>Input</t>
  </si>
  <si>
    <t>Value</t>
  </si>
  <si>
    <t>Sensor Model</t>
  </si>
  <si>
    <t>GHz</t>
  </si>
  <si>
    <t>Power</t>
  </si>
  <si>
    <t>dBm</t>
  </si>
  <si>
    <t>Source of Uncertainty</t>
  </si>
  <si>
    <t>Symbol</t>
  </si>
  <si>
    <t>Probability Distribution</t>
  </si>
  <si>
    <t>Result</t>
  </si>
  <si>
    <t>Mismatch Gain Between Generator and Sensor</t>
  </si>
  <si>
    <r>
      <t>M</t>
    </r>
    <r>
      <rPr>
        <vertAlign val="subscript"/>
        <sz val="10"/>
        <rFont val="Arial"/>
        <family val="2"/>
      </rPr>
      <t>u</t>
    </r>
  </si>
  <si>
    <t>D</t>
  </si>
  <si>
    <r>
      <t>K</t>
    </r>
    <r>
      <rPr>
        <vertAlign val="subscript"/>
        <sz val="10"/>
        <rFont val="Arial"/>
        <family val="2"/>
      </rPr>
      <t>b</t>
    </r>
  </si>
  <si>
    <t>Gaussian</t>
  </si>
  <si>
    <t>Power Sensor Linearity</t>
  </si>
  <si>
    <r>
      <t>P</t>
    </r>
    <r>
      <rPr>
        <vertAlign val="subscript"/>
        <sz val="10"/>
        <rFont val="Arial"/>
        <family val="2"/>
      </rPr>
      <t>l</t>
    </r>
  </si>
  <si>
    <r>
      <t>Z</t>
    </r>
    <r>
      <rPr>
        <vertAlign val="subscript"/>
        <sz val="10"/>
        <rFont val="Arial"/>
        <family val="2"/>
      </rPr>
      <t>s</t>
    </r>
  </si>
  <si>
    <t>N</t>
  </si>
  <si>
    <t>Max SWR (25 +/-10C)</t>
  </si>
  <si>
    <t>Power Linearity (25+/-10C)</t>
  </si>
  <si>
    <t>Zero Set</t>
  </si>
  <si>
    <t>Zero Drift</t>
  </si>
  <si>
    <t>Noise multiplier</t>
  </si>
  <si>
    <t>Number of avg</t>
  </si>
  <si>
    <t>rho DUT</t>
  </si>
  <si>
    <t>W</t>
  </si>
  <si>
    <t>Sensor noise</t>
  </si>
  <si>
    <t>rho sensor</t>
  </si>
  <si>
    <t>Multiplier</t>
  </si>
  <si>
    <t>#</t>
  </si>
  <si>
    <t>Normal</t>
  </si>
  <si>
    <t>x2</t>
  </si>
  <si>
    <t>Average mode</t>
  </si>
  <si>
    <t>Power Sensor Calibration Factor Uncertainties</t>
  </si>
  <si>
    <t>Mismatch Gain Between Calibration Source and Sensor</t>
  </si>
  <si>
    <t>Power Meter Instrumentation Error</t>
  </si>
  <si>
    <t>Power Meter Instrumentation Error During Calibration</t>
  </si>
  <si>
    <t>Power Meter Calibrator Output Power</t>
  </si>
  <si>
    <r>
      <t>M</t>
    </r>
    <r>
      <rPr>
        <vertAlign val="subscript"/>
        <sz val="10"/>
        <rFont val="Arial"/>
        <family val="2"/>
      </rPr>
      <t>uc</t>
    </r>
  </si>
  <si>
    <r>
      <t>P</t>
    </r>
    <r>
      <rPr>
        <vertAlign val="subscript"/>
        <sz val="10"/>
        <rFont val="Arial"/>
        <family val="2"/>
      </rPr>
      <t>m</t>
    </r>
  </si>
  <si>
    <r>
      <t>P</t>
    </r>
    <r>
      <rPr>
        <vertAlign val="subscript"/>
        <sz val="10"/>
        <rFont val="Arial"/>
        <family val="2"/>
      </rPr>
      <t>mc</t>
    </r>
  </si>
  <si>
    <r>
      <t>P</t>
    </r>
    <r>
      <rPr>
        <vertAlign val="subscript"/>
        <sz val="10"/>
        <rFont val="Arial"/>
        <family val="2"/>
      </rPr>
      <t>cal</t>
    </r>
  </si>
  <si>
    <t>PowerMeter</t>
  </si>
  <si>
    <t>EPM</t>
  </si>
  <si>
    <t>EPM-P</t>
  </si>
  <si>
    <t>P-Series</t>
  </si>
  <si>
    <t>N8481A</t>
  </si>
  <si>
    <t>N8482A</t>
  </si>
  <si>
    <t>N8485A</t>
  </si>
  <si>
    <t>Calibrator Mismatch</t>
  </si>
  <si>
    <t>rho calibrator</t>
  </si>
  <si>
    <t>SWR calibrator</t>
  </si>
  <si>
    <t>N8481A-CFT</t>
  </si>
  <si>
    <t>N8482A-CFT</t>
  </si>
  <si>
    <t>N8485A-CFT</t>
  </si>
  <si>
    <t>Power Meter instrumentation Errors &amp; Calibrator Accuracy</t>
  </si>
  <si>
    <t>8481A</t>
  </si>
  <si>
    <t>8482A</t>
  </si>
  <si>
    <t>8485A</t>
  </si>
  <si>
    <t>8483A</t>
  </si>
  <si>
    <t>8487A</t>
  </si>
  <si>
    <t>R8486A</t>
  </si>
  <si>
    <t>V8486A</t>
  </si>
  <si>
    <t>Q8486A</t>
  </si>
  <si>
    <t>W8486A</t>
  </si>
  <si>
    <t>8481B</t>
  </si>
  <si>
    <t>8482B</t>
  </si>
  <si>
    <t>8481D</t>
  </si>
  <si>
    <t>8485D</t>
  </si>
  <si>
    <t>8487D</t>
  </si>
  <si>
    <t>R8486D</t>
  </si>
  <si>
    <t>Q8486D</t>
  </si>
  <si>
    <t>8481H</t>
  </si>
  <si>
    <t>8482H</t>
  </si>
  <si>
    <t>8485A-033</t>
  </si>
  <si>
    <t>8485D-033</t>
  </si>
  <si>
    <t>E4412A</t>
  </si>
  <si>
    <t>E4413A</t>
  </si>
  <si>
    <t>E9300A</t>
  </si>
  <si>
    <t>E9301A</t>
  </si>
  <si>
    <t>E9304A</t>
  </si>
  <si>
    <t>E9300B</t>
  </si>
  <si>
    <t>E9301B</t>
  </si>
  <si>
    <t>E9300H</t>
  </si>
  <si>
    <t>E9301H</t>
  </si>
  <si>
    <t xml:space="preserve"> -70 to -20dBm</t>
  </si>
  <si>
    <t xml:space="preserve"> -10 to +35dBm</t>
  </si>
  <si>
    <t xml:space="preserve"> 0 to +44dBm</t>
  </si>
  <si>
    <t xml:space="preserve"> -30 to +20dBm</t>
  </si>
  <si>
    <t xml:space="preserve"> -70 to +20dBm</t>
  </si>
  <si>
    <t xml:space="preserve"> -60 to +20dBm</t>
  </si>
  <si>
    <t xml:space="preserve"> -30 to +44dBm</t>
  </si>
  <si>
    <t xml:space="preserve"> -50 to +30dBm</t>
  </si>
  <si>
    <t>Power Meter Model</t>
  </si>
  <si>
    <t>Divisor</t>
  </si>
  <si>
    <t>Model</t>
  </si>
  <si>
    <t>Power Range</t>
  </si>
  <si>
    <t>Average(N1911/2A)</t>
  </si>
  <si>
    <t>Normal(E4416/7A)</t>
  </si>
  <si>
    <t>Agilent Average Power Sensor Uncertainty Calculator</t>
  </si>
  <si>
    <t>Frequency Check</t>
  </si>
  <si>
    <t>Power Check</t>
  </si>
  <si>
    <t>Revision History</t>
  </si>
  <si>
    <t>Rev 2</t>
  </si>
  <si>
    <t>1. Corrected typo error on zero drift spec for E9300/1H</t>
  </si>
  <si>
    <t>2. Corrected E4412/13A cal factor uncertainties for above 0dBm.</t>
  </si>
  <si>
    <t>Rev 1</t>
  </si>
  <si>
    <t>New creation</t>
  </si>
  <si>
    <t>Rev 3</t>
  </si>
  <si>
    <t>N8487A</t>
  </si>
  <si>
    <t>N8481B</t>
  </si>
  <si>
    <t>N8482B</t>
  </si>
  <si>
    <t>N8481H</t>
  </si>
  <si>
    <t>N8482H</t>
  </si>
  <si>
    <t>N8486AR</t>
  </si>
  <si>
    <t>N8486AQ</t>
  </si>
  <si>
    <t>N8487A-CFT</t>
  </si>
  <si>
    <t>N8481B-CFT</t>
  </si>
  <si>
    <t>N8482B-CFT</t>
  </si>
  <si>
    <t>N8481H-CFT</t>
  </si>
  <si>
    <t>N8482H-CFT</t>
  </si>
  <si>
    <t>N8486AR-CFT</t>
  </si>
  <si>
    <t>N8486AQ-CFT</t>
  </si>
  <si>
    <t>Lower Range</t>
  </si>
  <si>
    <t>(Same specs for Upper/Lower for all models except for Meranti STD)</t>
  </si>
  <si>
    <t xml:space="preserve"> -35 to -1dBm</t>
  </si>
  <si>
    <t xml:space="preserve"> -5 to +29dBm</t>
  </si>
  <si>
    <t xml:space="preserve"> -15 to +17dBm</t>
  </si>
  <si>
    <t>0 to +44dBm</t>
  </si>
  <si>
    <t>Lower range</t>
  </si>
  <si>
    <t>Upper range</t>
  </si>
  <si>
    <r>
      <t xml:space="preserve">Cal factor uncertainties </t>
    </r>
    <r>
      <rPr>
        <b/>
        <sz val="10"/>
        <color indexed="12"/>
        <rFont val="Arial"/>
        <family val="2"/>
      </rPr>
      <t>(-35 to +20dBm, 25+/-3degC for Meranti and 8480, 25+/-10degC for E-Series)</t>
    </r>
  </si>
  <si>
    <t>1. Added in more models - N8487A, N8481/2B, N8481/2H and N8486AR/AQ.</t>
  </si>
  <si>
    <t>2. Updated Zero Set, Drift and Measurement Noise Spec for N8480 series.</t>
  </si>
  <si>
    <t>3. Updated N8480 cal factor uncertainty values base on 25+/-3degC.</t>
  </si>
  <si>
    <t>Rev 4</t>
  </si>
  <si>
    <t>1. Corrected missing data on V/W8486A, 8485A-033 and 8485D-033.</t>
  </si>
  <si>
    <t>rho sensor at cal</t>
  </si>
  <si>
    <t>GammaStyles</t>
  </si>
  <si>
    <t>Maximum</t>
  </si>
  <si>
    <t>95th %ile</t>
  </si>
  <si>
    <t>80th %ile</t>
  </si>
  <si>
    <t>Median</t>
  </si>
  <si>
    <t>Mean</t>
  </si>
  <si>
    <t>Fixed</t>
  </si>
  <si>
    <t>B: Fixed</t>
  </si>
  <si>
    <r>
      <t>|</t>
    </r>
    <r>
      <rPr>
        <sz val="10"/>
        <rFont val="Arial"/>
        <family val="2"/>
      </rPr>
      <t>Γmax|</t>
    </r>
  </si>
  <si>
    <r>
      <t>|</t>
    </r>
    <r>
      <rPr>
        <sz val="10"/>
        <rFont val="Arial"/>
        <family val="2"/>
      </rPr>
      <t>Γ|</t>
    </r>
  </si>
  <si>
    <t>|Γ95|</t>
  </si>
  <si>
    <t>|Γ80|</t>
  </si>
  <si>
    <t>|Γ50|</t>
  </si>
  <si>
    <t>|Γmean|</t>
  </si>
  <si>
    <t>Annotation</t>
  </si>
  <si>
    <t>WithinCircConv</t>
  </si>
  <si>
    <t>RayConv-95th</t>
  </si>
  <si>
    <t>GammaMult</t>
  </si>
  <si>
    <t>MuMult</t>
  </si>
  <si>
    <t>Value ±</t>
  </si>
  <si>
    <t>1. Allowed DUT to be specified by maximum, 95th percentile, mean, etc, SWR</t>
  </si>
  <si>
    <t>Sensor SWR Option</t>
  </si>
  <si>
    <t>rho user sensor</t>
  </si>
  <si>
    <t>GammaDistrGen</t>
  </si>
  <si>
    <t>GammaDistrSensor</t>
  </si>
  <si>
    <t>GammaDistr50MHz</t>
  </si>
  <si>
    <t>Combined Uncertainty-RSSed =</t>
  </si>
  <si>
    <t>K =</t>
  </si>
  <si>
    <t>Expanded Uncertainty =</t>
  </si>
  <si>
    <t>Upper Limit Uncertainty =</t>
  </si>
  <si>
    <t>Lower Limit Uncertainty =</t>
  </si>
  <si>
    <t>Number of Readings Averaged</t>
  </si>
  <si>
    <t>Uniform</t>
  </si>
  <si>
    <t>match</t>
  </si>
  <si>
    <r>
      <t>User-Entered Sensor Match</t>
    </r>
    <r>
      <rPr>
        <b/>
        <sz val="10"/>
        <color rgb="FFFF0000"/>
        <rFont val="Arial"/>
        <family val="2"/>
      </rPr>
      <t>*</t>
    </r>
  </si>
  <si>
    <t>The data used in this calculator is based on the specifications in the EPM, EPM and P-Series datasheets.</t>
  </si>
  <si>
    <t>The calculations are based on the ISO Guide to the Expression of Uncertainty in Measurement, often referred to as the GUM.</t>
  </si>
  <si>
    <t>Sensor Noise</t>
  </si>
  <si>
    <r>
      <t xml:space="preserve">e.g. RL = -15 dB is equivalent to VSWR = 1.43 is equivalent to ρ = </t>
    </r>
    <r>
      <rPr>
        <sz val="10"/>
        <rFont val="Arial"/>
        <family val="2"/>
      </rPr>
      <t>0.178 (reflection coefficient)</t>
    </r>
  </si>
  <si>
    <t>Enter 1 for VSWR = 1, a perfect match, or 0 for RL = 0 dB, a lossless reflection</t>
  </si>
  <si>
    <t>Product</t>
  </si>
  <si>
    <t>Boolean</t>
  </si>
  <si>
    <r>
      <t xml:space="preserve">Instructions: Fill in all the </t>
    </r>
    <r>
      <rPr>
        <sz val="10"/>
        <color rgb="FF0000FF"/>
        <rFont val="Arial"/>
        <family val="2"/>
      </rPr>
      <t>blue-colored</t>
    </r>
    <r>
      <rPr>
        <sz val="10"/>
        <rFont val="Arial"/>
        <family val="2"/>
      </rPr>
      <t xml:space="preserve"> fields and the</t>
    </r>
  </si>
  <si>
    <t>"Sensor Match" box; observe results in lower right.</t>
  </si>
  <si>
    <t>For more info about the GUM, and models used in this calculator, please refer to Agilent Application Note 1449-3,</t>
  </si>
  <si>
    <t>"Fundamentals of RF and Microwave Power Measurements (Part 3)," literature number 5988-9215EN.</t>
  </si>
  <si>
    <r>
      <t>Match Specification Style</t>
    </r>
    <r>
      <rPr>
        <b/>
        <vertAlign val="superscript"/>
        <sz val="10"/>
        <color rgb="FFFF0000"/>
        <rFont val="Arial"/>
        <family val="2"/>
      </rPr>
      <t>†</t>
    </r>
  </si>
  <si>
    <r>
      <t>Distribution of ρ</t>
    </r>
    <r>
      <rPr>
        <b/>
        <vertAlign val="superscript"/>
        <sz val="10"/>
        <color rgb="FFFF0000"/>
        <rFont val="Arial"/>
        <family val="2"/>
      </rPr>
      <t>†</t>
    </r>
  </si>
  <si>
    <r>
      <rPr>
        <b/>
        <vertAlign val="superscript"/>
        <sz val="10"/>
        <color rgb="FFFF0000"/>
        <rFont val="Arial"/>
        <family val="2"/>
      </rPr>
      <t>†</t>
    </r>
    <r>
      <rPr>
        <sz val="10"/>
        <color theme="1"/>
        <rFont val="Arial"/>
        <family val="2"/>
      </rPr>
      <t>These two columns set the form of the specification</t>
    </r>
  </si>
  <si>
    <t>C: Rayleigh</t>
  </si>
  <si>
    <t>and the PDF of the match. Hover below for details.</t>
  </si>
  <si>
    <t>2nd Boolean</t>
  </si>
  <si>
    <t>base on 15%-75% RH</t>
  </si>
  <si>
    <t>N8488A</t>
  </si>
  <si>
    <t>3. Allowed manual (user) entry of SWR for sensor at measurement frequency</t>
  </si>
  <si>
    <t>Rev 5</t>
  </si>
  <si>
    <t>4. Corrected error in Mismatch Gain Between Calibration Source and Sensor.</t>
  </si>
  <si>
    <r>
      <t>Device Under Test match (RL or SWR or ρ)</t>
    </r>
    <r>
      <rPr>
        <b/>
        <sz val="10"/>
        <color rgb="FFFF0000"/>
        <rFont val="Arial"/>
        <family val="2"/>
      </rPr>
      <t>*</t>
    </r>
  </si>
  <si>
    <t>6. Updated error in E4412/13A cal factor uncertainty above 0dBm.</t>
  </si>
  <si>
    <t>5. Added in new model - N8488A</t>
  </si>
  <si>
    <t>2. Allowed analysis base on Rayleigh distribution, fixed value (uniform on the edge of a circle), or uniform inside a circle in the complex plane</t>
  </si>
  <si>
    <r>
      <rPr>
        <sz val="10"/>
        <color rgb="FFFF0000"/>
        <rFont val="Arial"/>
        <family val="2"/>
      </rPr>
      <t>*</t>
    </r>
    <r>
      <rPr>
        <sz val="10"/>
        <rFont val="Arial"/>
        <family val="2"/>
      </rPr>
      <t xml:space="preserve"> This term can be entered as the return loss (RL) in dB (Sxx), or VSWR, or as a reflection coefficient.</t>
    </r>
  </si>
  <si>
    <t>A: Uniform inside Circle</t>
  </si>
  <si>
    <t>Rev 6</t>
  </si>
  <si>
    <t xml:space="preserve">1. Corrected error on column A7-A10 whereby error message will occur when user tried to change the radio button selection. </t>
  </si>
  <si>
    <t>Rev 7</t>
  </si>
  <si>
    <t>1. Updated error on E9300/1H (zero drift, zero set, noise at high power path).</t>
  </si>
  <si>
    <t>Rev8</t>
  </si>
  <si>
    <t>1. Corrected error on N8481B (zero drift, zero set, noise at low power path).</t>
  </si>
  <si>
    <t>2. Updated CF MU for 8487A</t>
  </si>
  <si>
    <t>E8486A-100</t>
  </si>
  <si>
    <t>E8486A-200</t>
  </si>
  <si>
    <t>Rev9</t>
  </si>
  <si>
    <t>1. Added in new models - E8486A-100 and E8486A-200</t>
  </si>
  <si>
    <t>© Agilent Technologies, Inc. 2008, 2009, 2011 and 2014.</t>
  </si>
  <si>
    <t>Revision 9</t>
  </si>
  <si>
    <t>Date updated: 5 March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</si>
</sst>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E+00"/>
    <numFmt numFmtId="165" formatCode="0.0000"/>
    <numFmt numFmtId="166" formatCode="0.000"/>
    <numFmt numFmtId="167" formatCode="0.0000%"/>
    <numFmt numFmtId="168" formatCode="0.000%"/>
    <numFmt numFmtId="169" formatCode="0.0%"/>
  </numFmts>
  <fonts count="32" x14ac:knownFonts="1">
    <font>
      <sz val="10"/>
      <name val="Arial"/>
    </font>
    <font>
      <sz val="10"/>
      <color theme="1"/>
      <name val="Arial"/>
      <family val="2"/>
    </font>
    <font>
      <sz val="10"/>
      <color theme="1"/>
      <name val="Arial"/>
      <family val="2"/>
    </font>
    <font>
      <sz val="10"/>
      <name val="Arial"/>
      <family val="2"/>
    </font>
    <font>
      <b/>
      <u/>
      <sz val="10"/>
      <name val="Arial"/>
      <family val="2"/>
    </font>
    <font>
      <b/>
      <sz val="10"/>
      <name val="Arial"/>
      <family val="2"/>
    </font>
    <font>
      <sz val="10"/>
      <color indexed="12"/>
      <name val="Arial"/>
      <family val="2"/>
    </font>
    <font>
      <sz val="10"/>
      <color indexed="10"/>
      <name val="Arial"/>
      <family val="2"/>
    </font>
    <font>
      <sz val="10"/>
      <color indexed="12"/>
      <name val="Arial"/>
      <family val="2"/>
    </font>
    <font>
      <u/>
      <sz val="10"/>
      <name val="Arial"/>
      <family val="2"/>
    </font>
    <font>
      <vertAlign val="subscript"/>
      <sz val="10"/>
      <name val="Arial"/>
      <family val="2"/>
    </font>
    <font>
      <sz val="10"/>
      <color indexed="61"/>
      <name val="Arial"/>
      <family val="2"/>
    </font>
    <font>
      <b/>
      <sz val="10"/>
      <color indexed="61"/>
      <name val="Arial"/>
      <family val="2"/>
    </font>
    <font>
      <sz val="10"/>
      <name val="Arial"/>
      <family val="2"/>
    </font>
    <font>
      <sz val="8"/>
      <name val="Arial"/>
      <family val="2"/>
    </font>
    <font>
      <b/>
      <sz val="10"/>
      <color indexed="12"/>
      <name val="Arial"/>
      <family val="2"/>
    </font>
    <font>
      <b/>
      <u/>
      <sz val="12"/>
      <name val="Arial"/>
      <family val="2"/>
    </font>
    <font>
      <sz val="8"/>
      <color indexed="81"/>
      <name val="Tahoma"/>
      <family val="2"/>
    </font>
    <font>
      <b/>
      <sz val="8"/>
      <color indexed="81"/>
      <name val="Tahoma"/>
      <family val="2"/>
    </font>
    <font>
      <i/>
      <sz val="10"/>
      <name val="Arial"/>
      <family val="2"/>
    </font>
    <font>
      <sz val="10"/>
      <color rgb="FF0000FF"/>
      <name val="Arial"/>
      <family val="2"/>
    </font>
    <font>
      <sz val="10"/>
      <color rgb="FFFF0000"/>
      <name val="Arial"/>
      <family val="2"/>
    </font>
    <font>
      <sz val="10"/>
      <color theme="0"/>
      <name val="Arial"/>
      <family val="2"/>
    </font>
    <font>
      <b/>
      <sz val="10"/>
      <color rgb="FF0000FF"/>
      <name val="Arial"/>
      <family val="2"/>
    </font>
    <font>
      <b/>
      <sz val="10"/>
      <color rgb="FFFF0000"/>
      <name val="Arial"/>
      <family val="2"/>
    </font>
    <font>
      <b/>
      <vertAlign val="superscript"/>
      <sz val="10"/>
      <color rgb="FFFF0000"/>
      <name val="Arial"/>
      <family val="2"/>
    </font>
    <font>
      <sz val="8"/>
      <color indexed="81"/>
      <name val="Arial"/>
      <family val="2"/>
    </font>
    <font>
      <b/>
      <u/>
      <sz val="8"/>
      <color indexed="81"/>
      <name val="Tahoma"/>
      <family val="2"/>
    </font>
    <font>
      <b/>
      <u/>
      <sz val="8"/>
      <color indexed="81"/>
      <name val="Arial"/>
      <family val="2"/>
    </font>
    <font>
      <sz val="10"/>
      <color rgb="FF00B050"/>
      <name val="Arial"/>
      <family val="2"/>
    </font>
    <font>
      <b/>
      <sz val="10"/>
      <color rgb="FF00B050"/>
      <name val="Arial"/>
      <family val="2"/>
    </font>
    <font>
      <sz val="8"/>
      <color rgb="FF000000"/>
      <name val="Tahoma"/>
      <family val="2"/>
    </font>
  </fonts>
  <fills count="7">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24">
    <border>
      <left/>
      <right/>
      <top/>
      <bottom/>
      <diagonal/>
    </border>
    <border>
      <left style="thin">
        <color indexed="9"/>
      </left>
      <right style="thin">
        <color indexed="9"/>
      </right>
      <top/>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3">
    <xf numFmtId="0" fontId="0" fillId="0" borderId="0" xfId="0"/>
    <xf numFmtId="0" fontId="16" fillId="0" borderId="0" xfId="0" applyFont="1" applyProtection="1">
      <protection hidden="1"/>
    </xf>
    <xf numFmtId="0" fontId="0" fillId="0" borderId="0" xfId="0" applyProtection="1">
      <protection hidden="1"/>
    </xf>
    <xf numFmtId="0" fontId="3" fillId="0" borderId="0" xfId="0" applyFont="1" applyProtection="1">
      <protection hidden="1"/>
    </xf>
    <xf numFmtId="0" fontId="22" fillId="0" borderId="0" xfId="0" applyFont="1" applyBorder="1" applyProtection="1">
      <protection hidden="1"/>
    </xf>
    <xf numFmtId="164" fontId="4" fillId="0" borderId="0" xfId="0" applyNumberFormat="1" applyFont="1" applyBorder="1" applyAlignment="1" applyProtection="1">
      <alignment horizontal="left" vertical="center"/>
      <protection hidden="1"/>
    </xf>
    <xf numFmtId="0" fontId="4" fillId="0" borderId="0" xfId="0" applyFont="1" applyBorder="1" applyAlignment="1" applyProtection="1">
      <alignment horizontal="right" vertical="center"/>
      <protection hidden="1"/>
    </xf>
    <xf numFmtId="165" fontId="0" fillId="0" borderId="0" xfId="0" applyNumberForma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0" xfId="0" applyFont="1" applyBorder="1" applyAlignment="1" applyProtection="1">
      <alignment horizontal="center"/>
      <protection hidden="1"/>
    </xf>
    <xf numFmtId="0" fontId="6" fillId="0" borderId="0" xfId="0" applyNumberFormat="1" applyFont="1" applyFill="1" applyBorder="1" applyAlignment="1" applyProtection="1">
      <alignment horizontal="center"/>
      <protection hidden="1"/>
    </xf>
    <xf numFmtId="0" fontId="5" fillId="0" borderId="0" xfId="0" applyFont="1" applyBorder="1" applyProtection="1">
      <protection hidden="1"/>
    </xf>
    <xf numFmtId="165" fontId="3" fillId="0" borderId="0" xfId="0" applyNumberFormat="1" applyFont="1" applyBorder="1" applyProtection="1">
      <protection hidden="1"/>
    </xf>
    <xf numFmtId="0" fontId="21" fillId="0" borderId="0" xfId="0" applyFont="1" applyBorder="1" applyProtection="1">
      <protection hidden="1"/>
    </xf>
    <xf numFmtId="166" fontId="6" fillId="0" borderId="0" xfId="0" applyNumberFormat="1" applyFont="1" applyFill="1" applyBorder="1" applyAlignment="1" applyProtection="1">
      <alignment horizontal="center"/>
      <protection hidden="1"/>
    </xf>
    <xf numFmtId="165" fontId="0" fillId="0" borderId="0" xfId="0" applyNumberFormat="1" applyBorder="1" applyProtection="1">
      <protection hidden="1"/>
    </xf>
    <xf numFmtId="0" fontId="0" fillId="0" borderId="0" xfId="0" applyBorder="1" applyProtection="1">
      <protection hidden="1"/>
    </xf>
    <xf numFmtId="0" fontId="8" fillId="0" borderId="0" xfId="0" applyFont="1" applyBorder="1" applyAlignment="1" applyProtection="1">
      <alignment horizontal="right" vertical="center"/>
      <protection hidden="1"/>
    </xf>
    <xf numFmtId="165" fontId="1" fillId="0" borderId="0" xfId="0" applyNumberFormat="1" applyFont="1" applyBorder="1" applyProtection="1">
      <protection hidden="1"/>
    </xf>
    <xf numFmtId="0" fontId="1" fillId="0" borderId="0" xfId="0" applyFont="1" applyBorder="1" applyAlignment="1" applyProtection="1">
      <alignment horizontal="left" vertical="center"/>
      <protection hidden="1"/>
    </xf>
    <xf numFmtId="166" fontId="15" fillId="0" borderId="0" xfId="0" applyNumberFormat="1" applyFont="1" applyFill="1" applyBorder="1" applyAlignment="1" applyProtection="1">
      <alignment horizontal="center"/>
      <protection hidden="1"/>
    </xf>
    <xf numFmtId="166" fontId="3" fillId="0" borderId="0" xfId="0" applyNumberFormat="1" applyFont="1" applyFill="1" applyBorder="1" applyAlignment="1" applyProtection="1">
      <alignment horizontal="left" vertical="center"/>
      <protection hidden="1"/>
    </xf>
    <xf numFmtId="166" fontId="7" fillId="0" borderId="0" xfId="0" applyNumberFormat="1" applyFont="1" applyFill="1" applyBorder="1" applyAlignment="1" applyProtection="1">
      <alignment horizontal="left"/>
      <protection hidden="1"/>
    </xf>
    <xf numFmtId="0" fontId="3" fillId="0" borderId="0" xfId="0" applyFont="1" applyBorder="1" applyAlignment="1" applyProtection="1">
      <alignment horizontal="right" vertical="center"/>
      <protection hidden="1"/>
    </xf>
    <xf numFmtId="0" fontId="3" fillId="0" borderId="0" xfId="0" applyNumberFormat="1" applyFont="1" applyFill="1" applyBorder="1" applyAlignment="1" applyProtection="1">
      <alignment horizontal="right"/>
      <protection hidden="1"/>
    </xf>
    <xf numFmtId="0" fontId="3" fillId="0" borderId="0" xfId="0" applyFont="1" applyBorder="1" applyProtection="1">
      <protection hidden="1"/>
    </xf>
    <xf numFmtId="166" fontId="3" fillId="0" borderId="0" xfId="0" applyNumberFormat="1" applyFont="1" applyFill="1" applyBorder="1" applyAlignment="1" applyProtection="1">
      <alignment horizontal="center"/>
      <protection hidden="1"/>
    </xf>
    <xf numFmtId="166" fontId="7" fillId="0" borderId="0" xfId="0" applyNumberFormat="1" applyFont="1" applyFill="1" applyBorder="1" applyAlignment="1" applyProtection="1">
      <alignment horizontal="center"/>
      <protection hidden="1"/>
    </xf>
    <xf numFmtId="0" fontId="8" fillId="0" borderId="0" xfId="0" applyFont="1" applyBorder="1" applyAlignment="1" applyProtection="1">
      <alignment horizontal="center"/>
      <protection hidden="1"/>
    </xf>
    <xf numFmtId="0" fontId="7" fillId="0" borderId="0" xfId="0" applyFont="1" applyProtection="1">
      <protection hidden="1"/>
    </xf>
    <xf numFmtId="165" fontId="9" fillId="0" borderId="0" xfId="0" applyNumberFormat="1" applyFont="1" applyBorder="1" applyProtection="1">
      <protection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horizontal="right" vertical="center" indent="1"/>
      <protection hidden="1"/>
    </xf>
    <xf numFmtId="165" fontId="4" fillId="0" borderId="1" xfId="0" applyNumberFormat="1" applyFont="1" applyBorder="1" applyAlignment="1" applyProtection="1">
      <alignment horizontal="left" vertical="center"/>
      <protection hidden="1"/>
    </xf>
    <xf numFmtId="165" fontId="4" fillId="0" borderId="1" xfId="0" applyNumberFormat="1" applyFont="1" applyBorder="1" applyAlignment="1" applyProtection="1">
      <alignment horizontal="center"/>
      <protection hidden="1"/>
    </xf>
    <xf numFmtId="164" fontId="4" fillId="0" borderId="3" xfId="0" applyNumberFormat="1" applyFont="1" applyBorder="1" applyAlignment="1" applyProtection="1">
      <alignment horizontal="right" vertical="center"/>
      <protection hidden="1"/>
    </xf>
    <xf numFmtId="167" fontId="0" fillId="0" borderId="0" xfId="0" applyNumberFormat="1" applyBorder="1" applyProtection="1">
      <protection hidden="1"/>
    </xf>
    <xf numFmtId="0" fontId="0" fillId="0" borderId="0" xfId="0" applyBorder="1" applyAlignment="1" applyProtection="1">
      <alignment horizontal="left" vertical="center"/>
      <protection hidden="1"/>
    </xf>
    <xf numFmtId="0" fontId="0" fillId="0" borderId="0" xfId="0" applyBorder="1" applyAlignment="1" applyProtection="1">
      <alignment horizontal="right" vertical="center" indent="1"/>
      <protection hidden="1"/>
    </xf>
    <xf numFmtId="166" fontId="0" fillId="0" borderId="0" xfId="0" applyNumberFormat="1" applyBorder="1" applyAlignment="1" applyProtection="1">
      <alignment horizontal="center" vertical="center"/>
      <protection hidden="1"/>
    </xf>
    <xf numFmtId="168" fontId="12" fillId="0" borderId="0" xfId="0" applyNumberFormat="1" applyFont="1" applyBorder="1" applyAlignment="1" applyProtection="1">
      <alignment horizontal="right" vertical="center"/>
      <protection hidden="1"/>
    </xf>
    <xf numFmtId="0" fontId="3" fillId="0" borderId="0" xfId="0" applyFont="1" applyBorder="1" applyAlignment="1" applyProtection="1">
      <alignment horizontal="left" vertical="center"/>
      <protection hidden="1"/>
    </xf>
    <xf numFmtId="168" fontId="12" fillId="0" borderId="0" xfId="0" applyNumberFormat="1" applyFont="1" applyFill="1" applyBorder="1" applyAlignment="1" applyProtection="1">
      <alignment horizontal="right"/>
      <protection hidden="1"/>
    </xf>
    <xf numFmtId="164" fontId="0" fillId="0" borderId="0" xfId="0" applyNumberFormat="1" applyBorder="1" applyAlignment="1" applyProtection="1">
      <alignment horizontal="center"/>
      <protection hidden="1"/>
    </xf>
    <xf numFmtId="168" fontId="5" fillId="0" borderId="0" xfId="0" applyNumberFormat="1" applyFont="1" applyBorder="1" applyAlignment="1" applyProtection="1">
      <alignment horizontal="right"/>
      <protection hidden="1"/>
    </xf>
    <xf numFmtId="10" fontId="12" fillId="0" borderId="0" xfId="0" applyNumberFormat="1" applyFont="1" applyFill="1" applyBorder="1" applyAlignment="1" applyProtection="1">
      <alignment horizontal="right"/>
      <protection hidden="1"/>
    </xf>
    <xf numFmtId="0" fontId="3" fillId="0" borderId="0" xfId="0" applyFont="1" applyFill="1" applyBorder="1" applyProtection="1">
      <protection hidden="1"/>
    </xf>
    <xf numFmtId="0" fontId="5" fillId="0" borderId="0" xfId="0" applyFont="1" applyBorder="1" applyAlignment="1" applyProtection="1">
      <alignment horizontal="right" vertical="center"/>
      <protection hidden="1"/>
    </xf>
    <xf numFmtId="10" fontId="12" fillId="5" borderId="0" xfId="0" applyNumberFormat="1" applyFont="1" applyFill="1" applyBorder="1" applyAlignment="1" applyProtection="1">
      <alignment horizontal="right"/>
      <protection hidden="1"/>
    </xf>
    <xf numFmtId="165" fontId="3" fillId="0" borderId="0" xfId="0" applyNumberFormat="1" applyFont="1" applyBorder="1" applyAlignment="1" applyProtection="1">
      <alignment horizontal="right" vertical="center"/>
      <protection hidden="1"/>
    </xf>
    <xf numFmtId="166" fontId="12" fillId="0" borderId="0" xfId="0" applyNumberFormat="1" applyFont="1" applyBorder="1" applyAlignment="1" applyProtection="1">
      <alignment horizontal="right"/>
      <protection hidden="1"/>
    </xf>
    <xf numFmtId="0" fontId="19" fillId="0" borderId="0" xfId="0" applyFont="1" applyProtection="1">
      <protection hidden="1"/>
    </xf>
    <xf numFmtId="0" fontId="5" fillId="0" borderId="0" xfId="0" applyFont="1" applyProtection="1">
      <protection hidden="1"/>
    </xf>
    <xf numFmtId="11" fontId="0" fillId="0" borderId="0" xfId="0" applyNumberFormat="1" applyBorder="1" applyProtection="1">
      <protection hidden="1"/>
    </xf>
    <xf numFmtId="0" fontId="4" fillId="0" borderId="0" xfId="0" applyFont="1" applyProtection="1">
      <protection hidden="1"/>
    </xf>
    <xf numFmtId="0" fontId="13" fillId="0" borderId="0" xfId="0" applyFont="1" applyProtection="1">
      <protection hidden="1"/>
    </xf>
    <xf numFmtId="15" fontId="0" fillId="0" borderId="0" xfId="0" applyNumberFormat="1" applyProtection="1">
      <protection hidden="1"/>
    </xf>
    <xf numFmtId="15" fontId="13" fillId="0" borderId="0" xfId="0" applyNumberFormat="1" applyFont="1" applyProtection="1">
      <protection hidden="1"/>
    </xf>
    <xf numFmtId="0" fontId="0" fillId="0" borderId="0" xfId="0" applyProtection="1">
      <protection locked="0" hidden="1"/>
    </xf>
    <xf numFmtId="0" fontId="5" fillId="0" borderId="0" xfId="0" applyFont="1" applyProtection="1">
      <protection locked="0" hidden="1"/>
    </xf>
    <xf numFmtId="0" fontId="0" fillId="0" borderId="0" xfId="0" applyAlignment="1" applyProtection="1">
      <alignment horizontal="center"/>
      <protection locked="0" hidden="1"/>
    </xf>
    <xf numFmtId="0" fontId="0" fillId="0" borderId="0" xfId="0" applyFill="1" applyProtection="1">
      <protection locked="0" hidden="1"/>
    </xf>
    <xf numFmtId="0" fontId="5" fillId="0" borderId="2" xfId="0" applyFont="1" applyBorder="1" applyProtection="1">
      <protection locked="0" hidden="1"/>
    </xf>
    <xf numFmtId="0" fontId="0" fillId="0" borderId="2" xfId="0" applyBorder="1" applyProtection="1">
      <protection locked="0" hidden="1"/>
    </xf>
    <xf numFmtId="10" fontId="0" fillId="0" borderId="2" xfId="0" applyNumberFormat="1" applyBorder="1" applyProtection="1">
      <protection locked="0" hidden="1"/>
    </xf>
    <xf numFmtId="0" fontId="5" fillId="0" borderId="2" xfId="0" applyFont="1" applyBorder="1" applyAlignment="1" applyProtection="1">
      <alignment horizontal="center"/>
      <protection locked="0" hidden="1"/>
    </xf>
    <xf numFmtId="0" fontId="5" fillId="0" borderId="2" xfId="0" applyFont="1" applyFill="1" applyBorder="1" applyAlignment="1" applyProtection="1">
      <alignment horizontal="center"/>
      <protection locked="0" hidden="1"/>
    </xf>
    <xf numFmtId="0" fontId="30" fillId="0" borderId="2" xfId="0" applyFont="1" applyFill="1" applyBorder="1" applyAlignment="1" applyProtection="1">
      <alignment horizontal="center"/>
      <protection locked="0" hidden="1"/>
    </xf>
    <xf numFmtId="0" fontId="5" fillId="0" borderId="0" xfId="0" applyFont="1" applyFill="1" applyBorder="1" applyAlignment="1" applyProtection="1">
      <alignment horizontal="center"/>
      <protection locked="0" hidden="1"/>
    </xf>
    <xf numFmtId="0" fontId="0" fillId="0" borderId="0" xfId="0" applyBorder="1" applyProtection="1">
      <protection locked="0" hidden="1"/>
    </xf>
    <xf numFmtId="0" fontId="13" fillId="0" borderId="2" xfId="0" applyFont="1" applyBorder="1" applyAlignment="1" applyProtection="1">
      <alignment horizontal="center"/>
      <protection locked="0" hidden="1"/>
    </xf>
    <xf numFmtId="0" fontId="0" fillId="0" borderId="2" xfId="0" applyBorder="1" applyAlignment="1" applyProtection="1">
      <alignment horizontal="center"/>
      <protection locked="0" hidden="1"/>
    </xf>
    <xf numFmtId="0" fontId="13" fillId="0" borderId="2" xfId="0" applyFont="1" applyFill="1" applyBorder="1" applyAlignment="1" applyProtection="1">
      <alignment horizontal="center"/>
      <protection locked="0" hidden="1"/>
    </xf>
    <xf numFmtId="0" fontId="3" fillId="0" borderId="2" xfId="0" applyFont="1" applyFill="1" applyBorder="1" applyAlignment="1" applyProtection="1">
      <alignment horizontal="center"/>
      <protection locked="0" hidden="1"/>
    </xf>
    <xf numFmtId="0" fontId="13" fillId="0" borderId="0" xfId="0" applyFont="1" applyFill="1" applyBorder="1" applyAlignment="1" applyProtection="1">
      <alignment horizontal="center"/>
      <protection locked="0" hidden="1"/>
    </xf>
    <xf numFmtId="0" fontId="0" fillId="0" borderId="2" xfId="0" applyNumberFormat="1" applyBorder="1" applyAlignment="1" applyProtection="1">
      <alignment horizontal="center"/>
      <protection locked="0" hidden="1"/>
    </xf>
    <xf numFmtId="0" fontId="0" fillId="2" borderId="2" xfId="0" applyFill="1" applyBorder="1" applyAlignment="1" applyProtection="1">
      <alignment horizontal="center"/>
      <protection locked="0" hidden="1"/>
    </xf>
    <xf numFmtId="0" fontId="0" fillId="0" borderId="2" xfId="0" applyFill="1" applyBorder="1" applyAlignment="1" applyProtection="1">
      <alignment horizontal="center"/>
      <protection locked="0" hidden="1"/>
    </xf>
    <xf numFmtId="0" fontId="29" fillId="0" borderId="2" xfId="0" applyFont="1" applyBorder="1" applyAlignment="1" applyProtection="1">
      <alignment horizontal="center"/>
      <protection locked="0" hidden="1"/>
    </xf>
    <xf numFmtId="0" fontId="3" fillId="3" borderId="2" xfId="0" applyFont="1" applyFill="1" applyBorder="1" applyAlignment="1" applyProtection="1">
      <alignment horizontal="center"/>
      <protection locked="0" hidden="1"/>
    </xf>
    <xf numFmtId="0" fontId="0" fillId="5" borderId="2" xfId="0" applyFill="1" applyBorder="1" applyAlignment="1" applyProtection="1">
      <alignment horizontal="center"/>
      <protection locked="0" hidden="1"/>
    </xf>
    <xf numFmtId="0" fontId="3" fillId="6" borderId="2" xfId="0" applyFont="1" applyFill="1" applyBorder="1" applyAlignment="1" applyProtection="1">
      <alignment horizontal="center"/>
      <protection locked="0" hidden="1"/>
    </xf>
    <xf numFmtId="0" fontId="29" fillId="0" borderId="2" xfId="0" applyFont="1" applyFill="1" applyBorder="1" applyAlignment="1" applyProtection="1">
      <alignment horizontal="center"/>
      <protection locked="0" hidden="1"/>
    </xf>
    <xf numFmtId="0" fontId="13" fillId="2" borderId="2" xfId="0" applyFont="1" applyFill="1" applyBorder="1" applyAlignment="1" applyProtection="1">
      <alignment horizontal="center"/>
      <protection locked="0" hidden="1"/>
    </xf>
    <xf numFmtId="0" fontId="3" fillId="2" borderId="2" xfId="0" applyFont="1" applyFill="1" applyBorder="1" applyAlignment="1" applyProtection="1">
      <alignment horizontal="center"/>
      <protection locked="0" hidden="1"/>
    </xf>
    <xf numFmtId="0" fontId="0" fillId="4" borderId="2" xfId="0" applyFill="1" applyBorder="1" applyAlignment="1" applyProtection="1">
      <alignment horizontal="center"/>
      <protection locked="0" hidden="1"/>
    </xf>
    <xf numFmtId="0" fontId="3" fillId="0" borderId="0" xfId="0" applyFont="1" applyFill="1" applyBorder="1" applyAlignment="1" applyProtection="1">
      <alignment horizontal="center"/>
      <protection locked="0" hidden="1"/>
    </xf>
    <xf numFmtId="0" fontId="0" fillId="0" borderId="0" xfId="0" applyBorder="1" applyAlignment="1" applyProtection="1">
      <alignment horizontal="center" vertical="center"/>
      <protection locked="0" hidden="1"/>
    </xf>
    <xf numFmtId="0" fontId="5" fillId="0" borderId="11" xfId="0" applyFont="1" applyFill="1" applyBorder="1" applyAlignment="1" applyProtection="1">
      <alignment horizontal="center"/>
      <protection locked="0" hidden="1"/>
    </xf>
    <xf numFmtId="0" fontId="5" fillId="0" borderId="4" xfId="0" applyFont="1" applyFill="1" applyBorder="1" applyAlignment="1" applyProtection="1">
      <alignment horizontal="center"/>
      <protection locked="0" hidden="1"/>
    </xf>
    <xf numFmtId="0" fontId="13" fillId="0" borderId="2" xfId="0" applyFont="1" applyBorder="1" applyProtection="1">
      <protection locked="0" hidden="1"/>
    </xf>
    <xf numFmtId="9" fontId="0" fillId="2" borderId="2" xfId="0" applyNumberFormat="1" applyFill="1" applyBorder="1" applyAlignment="1" applyProtection="1">
      <alignment horizontal="center"/>
      <protection locked="0" hidden="1"/>
    </xf>
    <xf numFmtId="10" fontId="13" fillId="0" borderId="2" xfId="0" applyNumberFormat="1" applyFont="1" applyFill="1" applyBorder="1" applyAlignment="1" applyProtection="1">
      <alignment horizontal="center"/>
      <protection locked="0" hidden="1"/>
    </xf>
    <xf numFmtId="10" fontId="0" fillId="0" borderId="2" xfId="0" applyNumberFormat="1" applyBorder="1" applyAlignment="1" applyProtection="1">
      <alignment horizontal="center"/>
      <protection locked="0" hidden="1"/>
    </xf>
    <xf numFmtId="169" fontId="0" fillId="0" borderId="2" xfId="0" applyNumberFormat="1" applyFill="1" applyBorder="1" applyAlignment="1" applyProtection="1">
      <alignment horizontal="center"/>
      <protection locked="0" hidden="1"/>
    </xf>
    <xf numFmtId="0" fontId="13" fillId="0" borderId="2" xfId="0" applyFont="1" applyFill="1" applyBorder="1" applyProtection="1">
      <protection locked="0" hidden="1"/>
    </xf>
    <xf numFmtId="10" fontId="29" fillId="0" borderId="2" xfId="0" applyNumberFormat="1" applyFont="1" applyBorder="1" applyAlignment="1" applyProtection="1">
      <alignment horizontal="center"/>
      <protection locked="0" hidden="1"/>
    </xf>
    <xf numFmtId="9" fontId="0" fillId="0" borderId="2" xfId="0" applyNumberFormat="1" applyBorder="1" applyAlignment="1" applyProtection="1">
      <alignment horizontal="center"/>
      <protection locked="0" hidden="1"/>
    </xf>
    <xf numFmtId="9" fontId="0" fillId="0" borderId="2" xfId="0" applyNumberFormat="1" applyFill="1" applyBorder="1" applyAlignment="1" applyProtection="1">
      <alignment horizontal="center"/>
      <protection locked="0" hidden="1"/>
    </xf>
    <xf numFmtId="10" fontId="0" fillId="4" borderId="2" xfId="0" applyNumberFormat="1" applyFill="1" applyBorder="1" applyAlignment="1" applyProtection="1">
      <alignment horizontal="center"/>
      <protection locked="0" hidden="1"/>
    </xf>
    <xf numFmtId="9" fontId="0" fillId="4" borderId="2" xfId="0" applyNumberFormat="1" applyFill="1" applyBorder="1" applyAlignment="1" applyProtection="1">
      <alignment horizontal="center"/>
      <protection locked="0" hidden="1"/>
    </xf>
    <xf numFmtId="0" fontId="4" fillId="0" borderId="0" xfId="0" applyFont="1" applyProtection="1">
      <protection locked="0" hidden="1"/>
    </xf>
    <xf numFmtId="0" fontId="0" fillId="0" borderId="0" xfId="0" applyFill="1" applyBorder="1" applyAlignment="1" applyProtection="1">
      <alignment horizontal="left"/>
      <protection locked="0" hidden="1"/>
    </xf>
    <xf numFmtId="0" fontId="0" fillId="0" borderId="2" xfId="0" applyBorder="1" applyAlignment="1" applyProtection="1">
      <alignment horizontal="left"/>
      <protection locked="0" hidden="1"/>
    </xf>
    <xf numFmtId="11" fontId="0" fillId="0" borderId="2" xfId="0" applyNumberFormat="1" applyBorder="1" applyProtection="1">
      <protection locked="0" hidden="1"/>
    </xf>
    <xf numFmtId="11" fontId="0" fillId="0" borderId="0" xfId="0" applyNumberFormat="1" applyProtection="1">
      <protection locked="0" hidden="1"/>
    </xf>
    <xf numFmtId="0" fontId="13" fillId="0" borderId="2" xfId="0" applyFont="1" applyBorder="1" applyAlignment="1" applyProtection="1">
      <alignment horizontal="left"/>
      <protection locked="0" hidden="1"/>
    </xf>
    <xf numFmtId="0" fontId="13" fillId="0" borderId="2" xfId="0" applyFont="1" applyFill="1" applyBorder="1" applyAlignment="1" applyProtection="1">
      <alignment horizontal="left"/>
      <protection locked="0" hidden="1"/>
    </xf>
    <xf numFmtId="11" fontId="29" fillId="0" borderId="2" xfId="0" applyNumberFormat="1" applyFont="1" applyBorder="1" applyProtection="1">
      <protection locked="0" hidden="1"/>
    </xf>
    <xf numFmtId="0" fontId="29" fillId="0" borderId="2" xfId="0" applyFont="1" applyFill="1" applyBorder="1" applyAlignment="1" applyProtection="1">
      <alignment horizontal="left"/>
      <protection locked="0" hidden="1"/>
    </xf>
    <xf numFmtId="0" fontId="3" fillId="0" borderId="0" xfId="0" applyFont="1" applyProtection="1">
      <protection locked="0" hidden="1"/>
    </xf>
    <xf numFmtId="0" fontId="8" fillId="0" borderId="2" xfId="0" applyFont="1" applyBorder="1" applyAlignment="1" applyProtection="1">
      <alignment horizontal="left"/>
      <protection locked="0" hidden="1"/>
    </xf>
    <xf numFmtId="11" fontId="8" fillId="0" borderId="2" xfId="0" applyNumberFormat="1" applyFont="1" applyBorder="1" applyProtection="1">
      <protection locked="0" hidden="1"/>
    </xf>
    <xf numFmtId="0" fontId="6" fillId="0" borderId="2" xfId="0" applyFont="1" applyBorder="1" applyAlignment="1" applyProtection="1">
      <alignment horizontal="left"/>
      <protection locked="0" hidden="1"/>
    </xf>
    <xf numFmtId="11" fontId="6" fillId="0" borderId="2" xfId="0" applyNumberFormat="1" applyFont="1" applyBorder="1" applyProtection="1">
      <protection locked="0" hidden="1"/>
    </xf>
    <xf numFmtId="0" fontId="0" fillId="0" borderId="22" xfId="0" applyBorder="1" applyProtection="1">
      <protection locked="0" hidden="1"/>
    </xf>
    <xf numFmtId="0" fontId="8" fillId="0" borderId="0" xfId="0" applyFont="1" applyFill="1" applyBorder="1" applyAlignment="1" applyProtection="1">
      <alignment horizontal="left"/>
      <protection locked="0" hidden="1"/>
    </xf>
    <xf numFmtId="11" fontId="8" fillId="0" borderId="22" xfId="0" applyNumberFormat="1" applyFont="1" applyBorder="1" applyProtection="1">
      <protection locked="0" hidden="1"/>
    </xf>
    <xf numFmtId="0" fontId="8" fillId="0" borderId="2" xfId="0" applyFont="1" applyFill="1" applyBorder="1" applyAlignment="1" applyProtection="1">
      <alignment horizontal="left"/>
      <protection locked="0" hidden="1"/>
    </xf>
    <xf numFmtId="0" fontId="29" fillId="0" borderId="0" xfId="0" applyFont="1" applyFill="1" applyBorder="1" applyAlignment="1" applyProtection="1">
      <alignment horizontal="left"/>
      <protection locked="0" hidden="1"/>
    </xf>
    <xf numFmtId="11" fontId="29" fillId="0" borderId="0" xfId="0" applyNumberFormat="1" applyFont="1" applyProtection="1">
      <protection locked="0" hidden="1"/>
    </xf>
    <xf numFmtId="11" fontId="29" fillId="0" borderId="22" xfId="0" applyNumberFormat="1" applyFont="1" applyBorder="1" applyProtection="1">
      <protection locked="0" hidden="1"/>
    </xf>
    <xf numFmtId="0" fontId="0" fillId="0" borderId="2" xfId="0" applyFill="1" applyBorder="1" applyProtection="1">
      <protection locked="0" hidden="1"/>
    </xf>
    <xf numFmtId="0" fontId="3" fillId="0" borderId="2" xfId="0" applyFont="1" applyFill="1" applyBorder="1" applyAlignment="1" applyProtection="1">
      <alignment horizontal="left"/>
      <protection locked="0" hidden="1"/>
    </xf>
    <xf numFmtId="0" fontId="3" fillId="0" borderId="2" xfId="0" applyFont="1" applyFill="1" applyBorder="1" applyProtection="1">
      <protection locked="0" hidden="1"/>
    </xf>
    <xf numFmtId="0" fontId="13" fillId="0" borderId="0" xfId="0" applyFont="1" applyFill="1" applyBorder="1" applyAlignment="1" applyProtection="1">
      <alignment horizontal="left"/>
      <protection locked="0" hidden="1"/>
    </xf>
    <xf numFmtId="11" fontId="0" fillId="0" borderId="0" xfId="0" applyNumberFormat="1" applyBorder="1" applyProtection="1">
      <protection locked="0" hidden="1"/>
    </xf>
    <xf numFmtId="0" fontId="5" fillId="0" borderId="0" xfId="0" applyFont="1" applyBorder="1" applyProtection="1">
      <protection locked="0" hidden="1"/>
    </xf>
    <xf numFmtId="0" fontId="5" fillId="0" borderId="17" xfId="0" applyFont="1" applyBorder="1" applyAlignment="1" applyProtection="1">
      <protection locked="0" hidden="1"/>
    </xf>
    <xf numFmtId="0" fontId="5" fillId="0" borderId="0" xfId="0" applyFont="1" applyBorder="1" applyAlignment="1" applyProtection="1">
      <protection locked="0" hidden="1"/>
    </xf>
    <xf numFmtId="0" fontId="5" fillId="0" borderId="13" xfId="0" applyFont="1" applyBorder="1" applyAlignment="1" applyProtection="1">
      <alignment horizontal="center"/>
      <protection locked="0" hidden="1"/>
    </xf>
    <xf numFmtId="0" fontId="5" fillId="0" borderId="13" xfId="0" applyFont="1" applyBorder="1" applyProtection="1">
      <protection locked="0" hidden="1"/>
    </xf>
    <xf numFmtId="0" fontId="5" fillId="0" borderId="18" xfId="0" applyFont="1" applyBorder="1" applyAlignment="1" applyProtection="1">
      <alignment horizontal="center"/>
      <protection locked="0" hidden="1"/>
    </xf>
    <xf numFmtId="0" fontId="5" fillId="0" borderId="21" xfId="0" applyFont="1" applyBorder="1" applyProtection="1">
      <protection locked="0" hidden="1"/>
    </xf>
    <xf numFmtId="0" fontId="0" fillId="0" borderId="14" xfId="0"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8" xfId="0" applyBorder="1" applyAlignment="1" applyProtection="1">
      <alignment horizontal="center"/>
      <protection locked="0" hidden="1"/>
    </xf>
    <xf numFmtId="0" fontId="0" fillId="0" borderId="20" xfId="0" applyFill="1" applyBorder="1" applyAlignment="1" applyProtection="1">
      <alignment horizontal="center"/>
      <protection locked="0" hidden="1"/>
    </xf>
    <xf numFmtId="0" fontId="0" fillId="0" borderId="9" xfId="0" applyFill="1" applyBorder="1" applyAlignment="1" applyProtection="1">
      <alignment horizontal="center"/>
      <protection locked="0" hidden="1"/>
    </xf>
    <xf numFmtId="0" fontId="0" fillId="0" borderId="15" xfId="0" applyBorder="1" applyAlignment="1" applyProtection="1">
      <alignment horizontal="center"/>
      <protection locked="0" hidden="1"/>
    </xf>
    <xf numFmtId="0" fontId="0" fillId="0" borderId="11" xfId="0" applyBorder="1" applyAlignment="1" applyProtection="1">
      <alignment horizontal="center"/>
      <protection locked="0" hidden="1"/>
    </xf>
    <xf numFmtId="0" fontId="0" fillId="0" borderId="4" xfId="0" applyBorder="1" applyAlignment="1" applyProtection="1">
      <alignment horizontal="center"/>
      <protection locked="0" hidden="1"/>
    </xf>
    <xf numFmtId="0" fontId="0" fillId="0" borderId="6" xfId="0" applyFill="1" applyBorder="1" applyAlignment="1" applyProtection="1">
      <alignment horizontal="center"/>
      <protection locked="0" hidden="1"/>
    </xf>
    <xf numFmtId="0" fontId="0" fillId="0" borderId="16" xfId="0" applyBorder="1" applyAlignment="1" applyProtection="1">
      <alignment horizontal="center"/>
      <protection locked="0" hidden="1"/>
    </xf>
    <xf numFmtId="0" fontId="0" fillId="0" borderId="12" xfId="0" applyBorder="1" applyAlignment="1" applyProtection="1">
      <alignment horizontal="center"/>
      <protection locked="0" hidden="1"/>
    </xf>
    <xf numFmtId="0" fontId="0" fillId="0" borderId="5" xfId="0" applyBorder="1" applyAlignment="1" applyProtection="1">
      <alignment horizontal="center"/>
      <protection locked="0" hidden="1"/>
    </xf>
    <xf numFmtId="0" fontId="0" fillId="0" borderId="19" xfId="0" applyFill="1" applyBorder="1" applyAlignment="1" applyProtection="1">
      <alignment horizontal="center"/>
      <protection locked="0" hidden="1"/>
    </xf>
    <xf numFmtId="0" fontId="0" fillId="0" borderId="7" xfId="0" applyFill="1" applyBorder="1" applyAlignment="1" applyProtection="1">
      <alignment horizontal="center"/>
      <protection locked="0" hidden="1"/>
    </xf>
    <xf numFmtId="0" fontId="5" fillId="0" borderId="0" xfId="0" applyFont="1" applyAlignment="1" applyProtection="1">
      <alignment horizontal="center"/>
      <protection locked="0" hidden="1"/>
    </xf>
    <xf numFmtId="0" fontId="5" fillId="0" borderId="0" xfId="0" applyFont="1" applyFill="1" applyProtection="1">
      <protection locked="0" hidden="1"/>
    </xf>
    <xf numFmtId="10" fontId="0" fillId="2" borderId="2" xfId="0" applyNumberFormat="1" applyFill="1" applyBorder="1" applyAlignment="1" applyProtection="1">
      <alignment horizontal="center"/>
      <protection locked="0" hidden="1"/>
    </xf>
    <xf numFmtId="10" fontId="6" fillId="0" borderId="2" xfId="0" applyNumberFormat="1" applyFont="1" applyFill="1" applyBorder="1" applyAlignment="1" applyProtection="1">
      <alignment horizontal="center"/>
      <protection locked="0" hidden="1"/>
    </xf>
    <xf numFmtId="10" fontId="6" fillId="0" borderId="2" xfId="0" applyNumberFormat="1" applyFont="1" applyBorder="1" applyAlignment="1" applyProtection="1">
      <alignment horizontal="center"/>
      <protection locked="0" hidden="1"/>
    </xf>
    <xf numFmtId="10" fontId="0" fillId="0" borderId="2" xfId="0" applyNumberFormat="1" applyFill="1" applyBorder="1" applyAlignment="1" applyProtection="1">
      <alignment horizontal="center"/>
      <protection locked="0" hidden="1"/>
    </xf>
    <xf numFmtId="10" fontId="13" fillId="0" borderId="2" xfId="0" applyNumberFormat="1" applyFont="1" applyBorder="1" applyAlignment="1" applyProtection="1">
      <alignment horizontal="center"/>
      <protection locked="0" hidden="1"/>
    </xf>
    <xf numFmtId="0" fontId="7" fillId="0" borderId="2" xfId="0" applyFont="1" applyBorder="1" applyAlignment="1" applyProtection="1">
      <alignment horizontal="center"/>
      <protection locked="0" hidden="1"/>
    </xf>
    <xf numFmtId="10" fontId="7" fillId="2" borderId="2" xfId="0" applyNumberFormat="1" applyFont="1" applyFill="1" applyBorder="1" applyAlignment="1" applyProtection="1">
      <alignment horizontal="center"/>
      <protection locked="0" hidden="1"/>
    </xf>
    <xf numFmtId="10" fontId="29" fillId="2" borderId="2" xfId="0" applyNumberFormat="1" applyFont="1" applyFill="1" applyBorder="1" applyAlignment="1" applyProtection="1">
      <alignment horizontal="center"/>
      <protection locked="0" hidden="1"/>
    </xf>
    <xf numFmtId="10" fontId="7" fillId="0" borderId="2" xfId="0" applyNumberFormat="1" applyFont="1" applyBorder="1" applyAlignment="1" applyProtection="1">
      <alignment horizontal="center"/>
      <protection locked="0" hidden="1"/>
    </xf>
    <xf numFmtId="10" fontId="7" fillId="0" borderId="2" xfId="0" applyNumberFormat="1" applyFont="1" applyFill="1" applyBorder="1" applyAlignment="1" applyProtection="1">
      <alignment horizontal="center"/>
      <protection locked="0" hidden="1"/>
    </xf>
    <xf numFmtId="10" fontId="13" fillId="4" borderId="2" xfId="0" applyNumberFormat="1" applyFont="1" applyFill="1" applyBorder="1" applyAlignment="1" applyProtection="1">
      <alignment horizontal="center"/>
      <protection locked="0" hidden="1"/>
    </xf>
    <xf numFmtId="0" fontId="7" fillId="0" borderId="0" xfId="0" applyFont="1" applyProtection="1">
      <protection locked="0" hidden="1"/>
    </xf>
    <xf numFmtId="10" fontId="3" fillId="2" borderId="2" xfId="0" applyNumberFormat="1" applyFont="1" applyFill="1" applyBorder="1" applyAlignment="1" applyProtection="1">
      <alignment horizontal="center"/>
      <protection locked="0" hidden="1"/>
    </xf>
    <xf numFmtId="10" fontId="3" fillId="0" borderId="2" xfId="0" applyNumberFormat="1" applyFont="1" applyBorder="1" applyAlignment="1" applyProtection="1">
      <alignment horizontal="center"/>
      <protection locked="0" hidden="1"/>
    </xf>
    <xf numFmtId="10" fontId="3" fillId="0" borderId="2" xfId="0" applyNumberFormat="1" applyFont="1" applyFill="1" applyBorder="1" applyAlignment="1" applyProtection="1">
      <alignment horizontal="center"/>
      <protection locked="0" hidden="1"/>
    </xf>
    <xf numFmtId="0" fontId="0" fillId="0" borderId="0" xfId="0" applyFill="1" applyBorder="1" applyAlignment="1" applyProtection="1">
      <alignment horizontal="center"/>
      <protection locked="0" hidden="1"/>
    </xf>
    <xf numFmtId="10" fontId="0" fillId="0" borderId="0" xfId="0" applyNumberFormat="1" applyBorder="1" applyAlignment="1" applyProtection="1">
      <alignment horizontal="center"/>
      <protection locked="0" hidden="1"/>
    </xf>
    <xf numFmtId="10" fontId="0" fillId="0" borderId="0" xfId="0" applyNumberFormat="1" applyFill="1" applyBorder="1" applyAlignment="1" applyProtection="1">
      <alignment horizontal="center"/>
      <protection locked="0" hidden="1"/>
    </xf>
    <xf numFmtId="166" fontId="0" fillId="0" borderId="0" xfId="0" applyNumberFormat="1" applyAlignment="1" applyProtection="1">
      <alignment horizontal="center"/>
      <protection locked="0" hidden="1"/>
    </xf>
    <xf numFmtId="2" fontId="7" fillId="0" borderId="0" xfId="0" applyNumberFormat="1" applyFont="1" applyFill="1" applyBorder="1" applyAlignment="1" applyProtection="1">
      <alignment horizontal="center"/>
      <protection locked="0" hidden="1"/>
    </xf>
    <xf numFmtId="166" fontId="11" fillId="0" borderId="0" xfId="0" applyNumberFormat="1" applyFont="1" applyBorder="1" applyAlignment="1" applyProtection="1">
      <alignment horizontal="center"/>
      <protection locked="0" hidden="1"/>
    </xf>
    <xf numFmtId="0" fontId="13" fillId="0" borderId="0" xfId="0" applyFont="1" applyProtection="1">
      <protection locked="0" hidden="1"/>
    </xf>
    <xf numFmtId="0" fontId="0" fillId="2" borderId="0" xfId="0" applyFill="1" applyAlignment="1" applyProtection="1">
      <alignment horizontal="center"/>
      <protection locked="0" hidden="1"/>
    </xf>
    <xf numFmtId="165" fontId="0" fillId="0" borderId="0" xfId="0" applyNumberFormat="1" applyProtection="1">
      <protection locked="0" hidden="1"/>
    </xf>
    <xf numFmtId="165" fontId="3" fillId="0" borderId="0" xfId="0" applyNumberFormat="1" applyFont="1" applyProtection="1">
      <protection locked="0" hidden="1"/>
    </xf>
    <xf numFmtId="165" fontId="5" fillId="0" borderId="0" xfId="0" applyNumberFormat="1" applyFont="1" applyProtection="1">
      <protection locked="0" hidden="1"/>
    </xf>
    <xf numFmtId="0" fontId="5" fillId="0" borderId="0" xfId="0" applyFont="1" applyBorder="1" applyAlignment="1" applyProtection="1">
      <alignment horizontal="left"/>
      <protection locked="0" hidden="1"/>
    </xf>
    <xf numFmtId="0" fontId="5" fillId="0" borderId="0" xfId="0" applyFont="1" applyFill="1" applyBorder="1" applyAlignment="1" applyProtection="1">
      <alignment horizontal="left"/>
      <protection locked="0" hidden="1"/>
    </xf>
    <xf numFmtId="0" fontId="15" fillId="0" borderId="0" xfId="0" applyFont="1" applyFill="1" applyBorder="1" applyAlignment="1" applyProtection="1">
      <alignment horizontal="left"/>
      <protection locked="0" hidden="1"/>
    </xf>
    <xf numFmtId="0" fontId="15" fillId="0" borderId="2" xfId="0" applyFont="1" applyFill="1" applyBorder="1" applyAlignment="1" applyProtection="1">
      <alignment horizontal="left"/>
      <protection locked="0" hidden="1"/>
    </xf>
    <xf numFmtId="0" fontId="5" fillId="0" borderId="2" xfId="0" applyFont="1" applyFill="1" applyBorder="1" applyAlignment="1" applyProtection="1">
      <alignment horizontal="left"/>
      <protection locked="0" hidden="1"/>
    </xf>
    <xf numFmtId="0" fontId="5" fillId="0" borderId="2" xfId="0" applyFont="1" applyBorder="1" applyAlignment="1" applyProtection="1">
      <alignment horizontal="left"/>
      <protection locked="0" hidden="1"/>
    </xf>
    <xf numFmtId="0" fontId="5" fillId="0" borderId="23" xfId="0" applyFont="1" applyFill="1" applyBorder="1" applyAlignment="1" applyProtection="1">
      <alignment horizontal="left"/>
      <protection locked="0" hidden="1"/>
    </xf>
    <xf numFmtId="2" fontId="8" fillId="0" borderId="0" xfId="0" applyNumberFormat="1" applyFont="1" applyBorder="1" applyAlignment="1" applyProtection="1">
      <alignment horizontal="right" vertical="center"/>
      <protection locked="0" hidden="1"/>
    </xf>
    <xf numFmtId="165" fontId="3" fillId="0" borderId="0" xfId="0" applyNumberFormat="1" applyFont="1" applyBorder="1" applyProtection="1">
      <protection locked="0" hidden="1"/>
    </xf>
    <xf numFmtId="165" fontId="20" fillId="0" borderId="0" xfId="0" applyNumberFormat="1" applyFont="1" applyBorder="1" applyProtection="1">
      <protection locked="0" hidden="1"/>
    </xf>
    <xf numFmtId="165" fontId="20" fillId="0" borderId="0" xfId="0" applyNumberFormat="1" applyFont="1" applyBorder="1" applyAlignment="1" applyProtection="1">
      <alignment horizontal="left" vertical="center"/>
      <protection locked="0" hidden="1"/>
    </xf>
    <xf numFmtId="2" fontId="6" fillId="0" borderId="0" xfId="0" applyNumberFormat="1" applyFont="1" applyFill="1" applyBorder="1" applyAlignment="1" applyProtection="1">
      <alignment horizontal="right" vertical="center"/>
      <protection locked="0" hidden="1"/>
    </xf>
    <xf numFmtId="166" fontId="6" fillId="0" borderId="0" xfId="0" applyNumberFormat="1" applyFont="1" applyFill="1" applyBorder="1" applyAlignment="1" applyProtection="1">
      <alignment horizontal="right" vertical="center"/>
      <protection locked="0" hidden="1"/>
    </xf>
    <xf numFmtId="0" fontId="8" fillId="0" borderId="0" xfId="0" applyFont="1" applyBorder="1" applyAlignment="1" applyProtection="1">
      <alignment horizontal="right" vertical="center"/>
      <protection locked="0" hidden="1"/>
    </xf>
    <xf numFmtId="0" fontId="6" fillId="0" borderId="0" xfId="0" applyNumberFormat="1" applyFont="1" applyFill="1" applyBorder="1" applyAlignment="1" applyProtection="1">
      <alignment horizontal="right" vertical="center"/>
      <protection locked="0" hidden="1"/>
    </xf>
    <xf numFmtId="166" fontId="2" fillId="0" borderId="0" xfId="0" applyNumberFormat="1" applyFont="1" applyFill="1" applyBorder="1" applyAlignment="1" applyProtection="1">
      <alignment horizontal="left" vertical="center"/>
      <protection locked="0" hidden="1"/>
    </xf>
    <xf numFmtId="166" fontId="20" fillId="0" borderId="0" xfId="0" applyNumberFormat="1" applyFont="1" applyFill="1" applyBorder="1" applyAlignment="1" applyProtection="1">
      <alignment horizontal="left" vertical="center"/>
      <protection locked="0" hidden="1"/>
    </xf>
    <xf numFmtId="0" fontId="11" fillId="0" borderId="0" xfId="0" applyFont="1" applyBorder="1" applyAlignment="1" applyProtection="1">
      <alignment horizontal="left" vertical="center"/>
      <protection locked="0" hidden="1"/>
    </xf>
    <xf numFmtId="165" fontId="2" fillId="0" borderId="0" xfId="0" applyNumberFormat="1" applyFont="1" applyBorder="1" applyAlignment="1" applyProtection="1">
      <alignment horizontal="left" vertical="center" wrapText="1"/>
      <protection locked="0" hidden="1"/>
    </xf>
    <xf numFmtId="166" fontId="2" fillId="0" borderId="0" xfId="0" applyNumberFormat="1" applyFont="1" applyBorder="1" applyAlignment="1" applyProtection="1">
      <alignment horizontal="left" vertical="center"/>
      <protection locked="0" hidden="1"/>
    </xf>
    <xf numFmtId="165" fontId="11" fillId="0" borderId="0" xfId="0" applyNumberFormat="1" applyFont="1" applyBorder="1" applyAlignment="1" applyProtection="1">
      <alignment horizontal="left" vertical="center"/>
      <protection locked="0" hidden="1"/>
    </xf>
    <xf numFmtId="0" fontId="1" fillId="0" borderId="0" xfId="0" applyFont="1" applyBorder="1" applyAlignment="1" applyProtection="1">
      <alignment horizontal="left" vertical="center"/>
      <protection locked="0" hidden="1"/>
    </xf>
    <xf numFmtId="10" fontId="11" fillId="0" borderId="0" xfId="0" applyNumberFormat="1" applyFont="1" applyBorder="1" applyAlignment="1" applyProtection="1">
      <alignment horizontal="left" vertical="center"/>
      <protection locked="0" hidden="1"/>
    </xf>
    <xf numFmtId="0" fontId="6" fillId="0" borderId="0" xfId="0" applyFont="1" applyBorder="1" applyAlignment="1" applyProtection="1">
      <alignment horizontal="left" vertical="center"/>
      <protection locked="0" hidden="1"/>
    </xf>
    <xf numFmtId="164" fontId="11" fillId="0" borderId="0" xfId="0" applyNumberFormat="1" applyFont="1" applyBorder="1" applyAlignment="1" applyProtection="1">
      <alignment horizontal="left" vertical="center"/>
      <protection locked="0" hidden="1"/>
    </xf>
    <xf numFmtId="0" fontId="6" fillId="0" borderId="0" xfId="0" applyFont="1" applyFill="1" applyBorder="1" applyAlignment="1" applyProtection="1">
      <alignment horizontal="left" vertical="center"/>
      <protection locked="0" hidden="1"/>
    </xf>
    <xf numFmtId="168" fontId="11" fillId="0" borderId="0" xfId="0" applyNumberFormat="1" applyFont="1" applyBorder="1" applyAlignment="1" applyProtection="1">
      <alignment horizontal="left" vertical="center"/>
      <protection locked="0" hidden="1"/>
    </xf>
    <xf numFmtId="2" fontId="12" fillId="0" borderId="0" xfId="0" applyNumberFormat="1" applyFont="1" applyFill="1" applyBorder="1" applyAlignment="1" applyProtection="1">
      <alignment horizontal="right"/>
      <protection locked="0" hidden="1"/>
    </xf>
    <xf numFmtId="168" fontId="12" fillId="0" borderId="0" xfId="0" applyNumberFormat="1" applyFont="1" applyFill="1" applyBorder="1" applyAlignment="1" applyProtection="1">
      <alignment horizontal="right" vertical="center"/>
      <protection hidden="1"/>
    </xf>
    <xf numFmtId="168" fontId="0" fillId="0" borderId="0" xfId="0" applyNumberFormat="1" applyBorder="1" applyAlignment="1" applyProtection="1">
      <alignment horizontal="right" vertical="center"/>
      <protection hidden="1"/>
    </xf>
    <xf numFmtId="0" fontId="3" fillId="0" borderId="0" xfId="0" applyFont="1" applyBorder="1" applyAlignment="1" applyProtection="1">
      <alignment horizontal="left" vertical="center"/>
      <protection hidden="1"/>
    </xf>
    <xf numFmtId="0" fontId="0" fillId="0" borderId="0" xfId="0" applyBorder="1" applyAlignment="1" applyProtection="1">
      <alignment horizontal="left" vertical="center"/>
      <protection hidden="1"/>
    </xf>
    <xf numFmtId="0" fontId="0" fillId="0" borderId="0" xfId="0" applyBorder="1" applyAlignment="1" applyProtection="1">
      <alignment horizontal="right" vertical="center" indent="1"/>
      <protection hidden="1"/>
    </xf>
    <xf numFmtId="166" fontId="0" fillId="0" borderId="0" xfId="0" applyNumberFormat="1" applyBorder="1" applyAlignment="1" applyProtection="1">
      <alignment horizontal="center" vertical="center"/>
      <protection hidden="1"/>
    </xf>
    <xf numFmtId="0" fontId="23" fillId="0" borderId="0" xfId="0" applyFont="1" applyBorder="1" applyAlignment="1" applyProtection="1">
      <alignment horizontal="center"/>
      <protection hidden="1"/>
    </xf>
    <xf numFmtId="0" fontId="0" fillId="0" borderId="0" xfId="0" applyBorder="1" applyAlignment="1" applyProtection="1">
      <alignment vertical="center"/>
      <protection hidden="1"/>
    </xf>
    <xf numFmtId="0" fontId="13" fillId="0" borderId="0" xfId="0" applyFont="1" applyBorder="1" applyAlignment="1" applyProtection="1">
      <alignment horizontal="right" vertical="center" indent="1"/>
      <protection hidden="1"/>
    </xf>
  </cellXfs>
  <cellStyles count="1">
    <cellStyle name="Normal" xfId="0" builtinId="0"/>
  </cellStyles>
  <dxfs count="2">
    <dxf>
      <font>
        <color theme="0" tint="-0.14996795556505021"/>
      </font>
    </dxf>
    <dxf>
      <font>
        <color theme="0" tint="-0.24994659260841701"/>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Data!$A$280" lockText="1" noThreeD="1"/>
</file>

<file path=xl/ctrlProps/ctrlProp3.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6</xdr:row>
          <xdr:rowOff>66675</xdr:rowOff>
        </xdr:from>
        <xdr:to>
          <xdr:col>1</xdr:col>
          <xdr:colOff>0</xdr:colOff>
          <xdr:row>10</xdr:row>
          <xdr:rowOff>0</xdr:rowOff>
        </xdr:to>
        <xdr:sp macro="" textlink="">
          <xdr:nvSpPr>
            <xdr:cNvPr id="3073" name="Group Box 1" hidden="1">
              <a:extLst>
                <a:ext uri="{63B3BB69-23CF-44E3-9099-C40C66FF867C}">
                  <a14:compatExt spid="_x0000_s307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Sensor Match at Measurement Frequency: Data Source 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7</xdr:row>
          <xdr:rowOff>19050</xdr:rowOff>
        </xdr:from>
        <xdr:to>
          <xdr:col>1</xdr:col>
          <xdr:colOff>0</xdr:colOff>
          <xdr:row>8</xdr:row>
          <xdr:rowOff>76200</xdr:rowOff>
        </xdr:to>
        <xdr:sp macro="" textlink="">
          <xdr:nvSpPr>
            <xdr:cNvPr id="3074" name="Option Button 2" hidden="1">
              <a:extLst>
                <a:ext uri="{63B3BB69-23CF-44E3-9099-C40C66FF867C}">
                  <a14:compatExt spid="_x0000_s3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From Sensor Model (via Specifications vs. Frequency)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8</xdr:row>
          <xdr:rowOff>19050</xdr:rowOff>
        </xdr:from>
        <xdr:to>
          <xdr:col>1</xdr:col>
          <xdr:colOff>0</xdr:colOff>
          <xdr:row>9</xdr:row>
          <xdr:rowOff>76200</xdr:rowOff>
        </xdr:to>
        <xdr:sp macro="" textlink="">
          <xdr:nvSpPr>
            <xdr:cNvPr id="3075" name="Option Button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User-Entered; use the line above this box</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ericbr/Local%20Settings/Temporary%20Internet%20Files/Content.Outlook/8KDLPE9Q/EPM_MU_calculat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certainty Calculator"/>
      <sheetName val="Sheet2"/>
      <sheetName val="Sheet3"/>
    </sheetNames>
    <sheetDataSet>
      <sheetData sheetId="0"/>
      <sheetData sheetId="1">
        <row r="2">
          <cell r="B2" t="str">
            <v>KHz</v>
          </cell>
        </row>
        <row r="3">
          <cell r="B3" t="str">
            <v>MHz</v>
          </cell>
        </row>
        <row r="4">
          <cell r="B4" t="str">
            <v>GHz</v>
          </cell>
        </row>
        <row r="8">
          <cell r="B8">
            <v>1</v>
          </cell>
        </row>
        <row r="9">
          <cell r="B9">
            <v>2</v>
          </cell>
        </row>
        <row r="10">
          <cell r="B10">
            <v>4</v>
          </cell>
        </row>
        <row r="11">
          <cell r="B11">
            <v>8</v>
          </cell>
        </row>
        <row r="12">
          <cell r="B12">
            <v>16</v>
          </cell>
        </row>
        <row r="13">
          <cell r="B13">
            <v>32</v>
          </cell>
        </row>
        <row r="14">
          <cell r="B14">
            <v>64</v>
          </cell>
        </row>
        <row r="15">
          <cell r="B15">
            <v>128</v>
          </cell>
        </row>
        <row r="16">
          <cell r="B16">
            <v>256</v>
          </cell>
        </row>
        <row r="17">
          <cell r="B17">
            <v>512</v>
          </cell>
        </row>
        <row r="18">
          <cell r="B18">
            <v>1024</v>
          </cell>
        </row>
        <row r="20">
          <cell r="B20" t="str">
            <v>Rectangular</v>
          </cell>
        </row>
        <row r="22">
          <cell r="B22" t="str">
            <v>U-Shape</v>
          </cell>
          <cell r="C22">
            <v>1.4142135623730951</v>
          </cell>
        </row>
        <row r="24">
          <cell r="B24" t="str">
            <v>15% to 75% RH</v>
          </cell>
        </row>
        <row r="25">
          <cell r="B25" t="str">
            <v>75% to 95% RH</v>
          </cell>
        </row>
        <row r="52">
          <cell r="C52" t="str">
            <v>E9300A</v>
          </cell>
          <cell r="D52" t="str">
            <v>E9301A</v>
          </cell>
          <cell r="E52" t="str">
            <v>E9304A</v>
          </cell>
          <cell r="F52" t="str">
            <v>E9300B</v>
          </cell>
          <cell r="G52" t="str">
            <v>E9301B</v>
          </cell>
          <cell r="H52" t="str">
            <v>E9300H</v>
          </cell>
          <cell r="I52" t="str">
            <v>E9301H</v>
          </cell>
          <cell r="J52" t="str">
            <v>8481A</v>
          </cell>
          <cell r="K52" t="str">
            <v>8482A</v>
          </cell>
          <cell r="L52" t="str">
            <v>8483A</v>
          </cell>
          <cell r="M52" t="str">
            <v>8485A</v>
          </cell>
          <cell r="N52" t="str">
            <v>8487A</v>
          </cell>
          <cell r="O52" t="str">
            <v>R8486A</v>
          </cell>
          <cell r="P52" t="str">
            <v>Q8486A</v>
          </cell>
          <cell r="Q52" t="str">
            <v>8481B</v>
          </cell>
          <cell r="R52" t="str">
            <v>8482B</v>
          </cell>
          <cell r="S52" t="str">
            <v>8481D</v>
          </cell>
          <cell r="T52" t="str">
            <v>8485D</v>
          </cell>
          <cell r="U52" t="str">
            <v>8487D</v>
          </cell>
          <cell r="V52" t="str">
            <v>8481H</v>
          </cell>
          <cell r="W52" t="str">
            <v>8482H</v>
          </cell>
          <cell r="X52" t="str">
            <v>R8486D</v>
          </cell>
          <cell r="Y52" t="str">
            <v>Q8486D</v>
          </cell>
          <cell r="Z52" t="str">
            <v>E4412A</v>
          </cell>
          <cell r="AA52" t="str">
            <v>E4413A</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S45"/>
  <sheetViews>
    <sheetView tabSelected="1" zoomScaleNormal="100" workbookViewId="0">
      <selection activeCell="L22" sqref="L22"/>
    </sheetView>
  </sheetViews>
  <sheetFormatPr defaultRowHeight="12.75" x14ac:dyDescent="0.2"/>
  <cols>
    <col min="1" max="1" width="47.7109375" style="2" customWidth="1"/>
    <col min="2" max="2" width="12.28515625" style="2" customWidth="1"/>
    <col min="3" max="3" width="16" style="2" customWidth="1"/>
    <col min="4" max="4" width="23" style="2" customWidth="1"/>
    <col min="5" max="5" width="14.7109375" style="2" customWidth="1"/>
    <col min="6" max="6" width="11.42578125" style="2" customWidth="1"/>
    <col min="7" max="7" width="33.85546875" style="2" customWidth="1"/>
    <col min="8" max="8" width="10.7109375" style="2" bestFit="1" customWidth="1"/>
    <col min="9" max="16384" width="9.140625" style="2"/>
  </cols>
  <sheetData>
    <row r="1" spans="1:19" ht="15.75" x14ac:dyDescent="0.25">
      <c r="A1" s="1" t="s">
        <v>101</v>
      </c>
      <c r="D1" s="3" t="s">
        <v>182</v>
      </c>
    </row>
    <row r="2" spans="1:19" x14ac:dyDescent="0.2">
      <c r="B2" s="4">
        <f>Data!A280</f>
        <v>2</v>
      </c>
      <c r="D2" s="3" t="s">
        <v>183</v>
      </c>
    </row>
    <row r="3" spans="1:19" ht="14.25" x14ac:dyDescent="0.2">
      <c r="A3" s="5" t="s">
        <v>1</v>
      </c>
      <c r="B3" s="6" t="s">
        <v>2</v>
      </c>
      <c r="C3" s="7"/>
      <c r="D3" s="8" t="s">
        <v>186</v>
      </c>
      <c r="E3" s="8" t="s">
        <v>187</v>
      </c>
      <c r="F3" s="9"/>
      <c r="H3" s="10"/>
    </row>
    <row r="4" spans="1:19" x14ac:dyDescent="0.2">
      <c r="A4" s="11" t="s">
        <v>197</v>
      </c>
      <c r="B4" s="187">
        <v>1.22</v>
      </c>
      <c r="C4" s="12" t="str">
        <f>IF(B4=1,"Perfect Match!",IF(B4=0,"Lossless Reflection",IF(B4&gt;1,"VSWR",IF(B4&lt;0,"Return Loss, dB","reflection coefficient"))))</f>
        <v>VSWR</v>
      </c>
      <c r="D4" s="185" t="s">
        <v>141</v>
      </c>
      <c r="E4" s="186" t="s">
        <v>189</v>
      </c>
      <c r="F4" s="13" t="str">
        <f>IF(VLOOKUP(D4,Data!A$256:E$261,5,FALSE)*VLOOKUP(E4,Data!A$269:E$271,5,FALSE)+(1-VLOOKUP(D4,Data!A$256:F$261,6,FALSE))*(1-VLOOKUP(E4,Data!A$269:E$271,5,FALSE)),"Use Fixed in both columns or neither","")</f>
        <v/>
      </c>
      <c r="H4" s="14"/>
    </row>
    <row r="5" spans="1:19" x14ac:dyDescent="0.2">
      <c r="A5" s="11" t="s">
        <v>3</v>
      </c>
      <c r="B5" s="188" t="s">
        <v>80</v>
      </c>
      <c r="C5" s="15"/>
      <c r="D5" s="191" t="s">
        <v>141</v>
      </c>
      <c r="E5" s="192" t="s">
        <v>189</v>
      </c>
      <c r="F5" s="13" t="str">
        <f>IF(VLOOKUP(D5,Data!A$256:E$261,5,FALSE)*VLOOKUP(E5,Data!A$269:E$271,5,FALSE)+(1-VLOOKUP(D5,Data!A$256:F$261,6,FALSE))*(1-VLOOKUP(E5,Data!A$269:E$271,5,FALSE)),"Use Fixed in both columns or neither","")</f>
        <v/>
      </c>
      <c r="G5" s="16"/>
      <c r="H5" s="14"/>
      <c r="I5" s="16"/>
      <c r="J5" s="16"/>
      <c r="K5" s="14"/>
      <c r="L5" s="15"/>
      <c r="M5" s="14"/>
      <c r="N5" s="15"/>
      <c r="O5" s="15"/>
      <c r="P5" s="15"/>
      <c r="Q5" s="15"/>
      <c r="R5" s="15"/>
      <c r="S5" s="15"/>
    </row>
    <row r="6" spans="1:19" x14ac:dyDescent="0.2">
      <c r="A6" s="127" t="s">
        <v>174</v>
      </c>
      <c r="B6" s="183">
        <v>1.1000000000000001</v>
      </c>
      <c r="C6" s="184" t="str">
        <f>IF(B6=1,"Perfect Match!",IF(B6=0,"Lossless Reflection",IF(B6&gt;1,"VSWR",IF(B6&lt;0,"Return Loss, dB","reflection coefficient"))))</f>
        <v>VSWR</v>
      </c>
      <c r="D6" s="185" t="s">
        <v>141</v>
      </c>
      <c r="E6" s="186" t="s">
        <v>189</v>
      </c>
      <c r="F6" s="13" t="str">
        <f>IF(VLOOKUP(D6,Data!A$256:E$261,5,FALSE)*VLOOKUP(E6,Data!A$269:E$271,5,FALSE)+(1-VLOOKUP(D6,Data!A$256:F$261,6,FALSE))*(1-VLOOKUP(E6,Data!A$269:E$271,5,FALSE)),"Use Fixed in both columns or neither","")</f>
        <v/>
      </c>
      <c r="G6" s="16"/>
      <c r="H6" s="16"/>
      <c r="I6" s="16"/>
      <c r="J6" s="16"/>
      <c r="K6" s="16"/>
      <c r="L6" s="16"/>
      <c r="M6" s="16"/>
      <c r="N6" s="16"/>
      <c r="O6" s="16"/>
      <c r="P6" s="16"/>
      <c r="Q6" s="16"/>
    </row>
    <row r="7" spans="1:19" ht="8.4499999999999993" customHeight="1" x14ac:dyDescent="0.2">
      <c r="A7" s="210"/>
      <c r="B7" s="189"/>
      <c r="C7" s="12"/>
      <c r="D7" s="17"/>
      <c r="E7" s="17"/>
      <c r="F7" s="16"/>
      <c r="G7" s="16"/>
      <c r="H7" s="16"/>
      <c r="I7" s="16"/>
      <c r="J7" s="16"/>
      <c r="K7" s="16"/>
      <c r="L7" s="16"/>
      <c r="M7" s="16"/>
      <c r="N7" s="16"/>
      <c r="O7" s="16"/>
      <c r="P7" s="16"/>
      <c r="Q7" s="16"/>
    </row>
    <row r="8" spans="1:19" ht="13.15" customHeight="1" x14ac:dyDescent="0.2">
      <c r="A8" s="210"/>
      <c r="B8" s="189"/>
      <c r="D8" s="12" t="s">
        <v>188</v>
      </c>
      <c r="E8" s="17"/>
      <c r="F8" s="16"/>
      <c r="G8" s="16"/>
      <c r="H8" s="16"/>
      <c r="I8" s="16"/>
      <c r="J8" s="16"/>
      <c r="K8" s="16"/>
      <c r="L8" s="16"/>
      <c r="M8" s="16"/>
      <c r="N8" s="16"/>
      <c r="O8" s="16"/>
      <c r="P8" s="16"/>
      <c r="Q8" s="16"/>
    </row>
    <row r="9" spans="1:19" ht="13.15" customHeight="1" x14ac:dyDescent="0.2">
      <c r="A9" s="210"/>
      <c r="B9" s="189"/>
      <c r="C9" s="18"/>
      <c r="D9" s="19" t="s">
        <v>190</v>
      </c>
      <c r="E9" s="17"/>
      <c r="F9" s="16"/>
      <c r="G9" s="16"/>
      <c r="H9" s="16"/>
      <c r="I9" s="16"/>
      <c r="J9" s="16"/>
      <c r="K9" s="16"/>
      <c r="L9" s="16"/>
      <c r="M9" s="16"/>
      <c r="N9" s="16"/>
      <c r="O9" s="16"/>
      <c r="P9" s="16"/>
      <c r="Q9" s="16"/>
    </row>
    <row r="10" spans="1:19" ht="13.15" customHeight="1" x14ac:dyDescent="0.2">
      <c r="A10" s="210"/>
      <c r="B10" s="189"/>
      <c r="C10" s="12"/>
      <c r="D10" s="17"/>
      <c r="E10" s="17"/>
      <c r="F10" s="16"/>
      <c r="G10" s="16"/>
      <c r="H10" s="16"/>
      <c r="I10" s="16"/>
      <c r="J10" s="16"/>
      <c r="K10" s="16"/>
      <c r="L10" s="16"/>
      <c r="M10" s="16"/>
      <c r="N10" s="16"/>
      <c r="O10" s="16"/>
      <c r="P10" s="16"/>
      <c r="Q10" s="16"/>
    </row>
    <row r="11" spans="1:19" x14ac:dyDescent="0.2">
      <c r="A11" s="11" t="s">
        <v>95</v>
      </c>
      <c r="B11" s="188" t="s">
        <v>45</v>
      </c>
      <c r="C11" s="15"/>
      <c r="D11" s="20"/>
      <c r="E11" s="20"/>
      <c r="F11" s="16"/>
      <c r="G11" s="16"/>
      <c r="H11" s="10"/>
      <c r="I11" s="16"/>
      <c r="J11" s="16"/>
      <c r="K11" s="14"/>
      <c r="L11" s="15"/>
      <c r="M11" s="14"/>
      <c r="N11" s="15"/>
      <c r="O11" s="15"/>
      <c r="P11" s="15"/>
      <c r="Q11" s="15"/>
      <c r="R11" s="15"/>
      <c r="S11" s="15"/>
    </row>
    <row r="12" spans="1:19" x14ac:dyDescent="0.2">
      <c r="A12" s="11" t="s">
        <v>0</v>
      </c>
      <c r="B12" s="190">
        <v>2</v>
      </c>
      <c r="C12" s="21" t="s">
        <v>4</v>
      </c>
      <c r="D12" s="22" t="str">
        <f>VLOOKUP(B5,Data!A283:B334, 2, FALSE)</f>
        <v xml:space="preserve"> </v>
      </c>
      <c r="E12" s="22"/>
      <c r="F12" s="23"/>
      <c r="G12" s="16"/>
      <c r="H12" s="10"/>
      <c r="I12" s="16"/>
      <c r="J12" s="16"/>
      <c r="K12" s="16"/>
      <c r="L12" s="16"/>
      <c r="M12" s="16"/>
      <c r="N12" s="16"/>
      <c r="O12" s="16"/>
      <c r="P12" s="16"/>
      <c r="Q12" s="16"/>
    </row>
    <row r="13" spans="1:19" x14ac:dyDescent="0.2">
      <c r="A13" s="11" t="s">
        <v>5</v>
      </c>
      <c r="B13" s="190">
        <v>-13</v>
      </c>
      <c r="C13" s="21" t="s">
        <v>6</v>
      </c>
      <c r="D13" s="22" t="str">
        <f>VLOOKUP(B5,Data!A337:B388, 2, FALSE)</f>
        <v xml:space="preserve"> </v>
      </c>
      <c r="E13" s="24">
        <f>10^((B13-30)/10)</f>
        <v>5.0118723362727238E-5</v>
      </c>
      <c r="F13" s="25" t="s">
        <v>27</v>
      </c>
      <c r="H13" s="10"/>
      <c r="I13" s="16"/>
      <c r="J13" s="16"/>
      <c r="K13" s="16"/>
      <c r="L13" s="16"/>
      <c r="M13" s="16"/>
      <c r="N13" s="16"/>
      <c r="O13" s="16"/>
      <c r="P13" s="16"/>
      <c r="Q13" s="16"/>
    </row>
    <row r="14" spans="1:19" x14ac:dyDescent="0.2">
      <c r="A14" s="11" t="s">
        <v>171</v>
      </c>
      <c r="B14" s="190">
        <v>1</v>
      </c>
      <c r="C14" s="26"/>
      <c r="D14" s="27"/>
      <c r="E14" s="27"/>
      <c r="F14" s="16"/>
      <c r="H14" s="28"/>
      <c r="I14" s="16"/>
      <c r="J14" s="16"/>
      <c r="K14" s="16"/>
      <c r="L14" s="16"/>
      <c r="M14" s="16"/>
      <c r="N14" s="16"/>
      <c r="O14" s="16"/>
      <c r="P14" s="16"/>
      <c r="Q14" s="16"/>
    </row>
    <row r="15" spans="1:19" x14ac:dyDescent="0.2">
      <c r="A15" s="11" t="s">
        <v>34</v>
      </c>
      <c r="B15" s="189" t="s">
        <v>32</v>
      </c>
      <c r="C15" s="29" t="str">
        <f>IF(AND(B11="P-Series", B15="x2"),"No x2 setting for P-Series!"," ")</f>
        <v xml:space="preserve"> </v>
      </c>
      <c r="D15" s="30"/>
      <c r="E15" s="30"/>
      <c r="F15" s="16"/>
      <c r="H15" s="16"/>
      <c r="I15" s="16"/>
      <c r="J15" s="16"/>
      <c r="K15" s="16"/>
      <c r="L15" s="16"/>
      <c r="M15" s="16"/>
      <c r="N15" s="16"/>
      <c r="O15" s="16"/>
      <c r="P15" s="16"/>
      <c r="Q15" s="16"/>
    </row>
    <row r="16" spans="1:19" x14ac:dyDescent="0.2">
      <c r="C16" s="29"/>
      <c r="D16" s="30"/>
      <c r="E16" s="30"/>
      <c r="F16" s="16"/>
      <c r="H16" s="16"/>
      <c r="I16" s="16"/>
      <c r="J16" s="16"/>
      <c r="K16" s="16"/>
      <c r="L16" s="16"/>
      <c r="M16" s="16"/>
      <c r="N16" s="16"/>
      <c r="O16" s="16"/>
      <c r="P16" s="16"/>
      <c r="Q16" s="16"/>
    </row>
    <row r="17" spans="1:17" x14ac:dyDescent="0.2">
      <c r="A17" s="31" t="s">
        <v>7</v>
      </c>
      <c r="B17" s="32" t="s">
        <v>8</v>
      </c>
      <c r="C17" s="33" t="s">
        <v>159</v>
      </c>
      <c r="D17" s="33" t="s">
        <v>9</v>
      </c>
      <c r="E17" s="34" t="s">
        <v>96</v>
      </c>
      <c r="F17" s="35" t="s">
        <v>10</v>
      </c>
      <c r="H17" s="16"/>
      <c r="I17" s="16"/>
      <c r="J17" s="16"/>
      <c r="K17" s="16"/>
      <c r="L17" s="16"/>
      <c r="M17" s="16"/>
      <c r="N17" s="16"/>
      <c r="O17" s="16"/>
      <c r="P17" s="16"/>
      <c r="Q17" s="16"/>
    </row>
    <row r="18" spans="1:17" x14ac:dyDescent="0.2">
      <c r="A18" s="211" t="s">
        <v>11</v>
      </c>
      <c r="B18" s="212" t="s">
        <v>12</v>
      </c>
      <c r="C18" s="193" t="str">
        <f>VLOOKUP(D4,Data!$A$256:$B$261,2,FALSE)&amp;"g = "&amp;TEXT(Data!B238,"0.000")</f>
        <v>|Γmax|g = 0.099</v>
      </c>
      <c r="D18" s="194" t="str">
        <f>E4</f>
        <v>C: Rayleigh</v>
      </c>
      <c r="E18" s="209">
        <f>1/(SQRT(2)*VLOOKUP(E4,Data!$A$264:$D$266,4,FALSE)*VLOOKUP(IF(Data!A280=1,E5,E6),Data!$A$269:$D$271,4,FALSE))</f>
        <v>4.1785731860904178</v>
      </c>
      <c r="F18" s="204">
        <f>Data!B238*IF(Data!A280=1,Data!B239,Data!B245)/calculator!E18</f>
        <v>1.1293339876667201E-3</v>
      </c>
      <c r="H18" s="36"/>
      <c r="I18" s="16"/>
      <c r="J18" s="16"/>
      <c r="K18" s="16"/>
      <c r="L18" s="16"/>
      <c r="M18" s="16"/>
      <c r="N18" s="16"/>
      <c r="O18" s="16"/>
      <c r="P18" s="16"/>
      <c r="Q18" s="16"/>
    </row>
    <row r="19" spans="1:17" x14ac:dyDescent="0.2">
      <c r="A19" s="211"/>
      <c r="B19" s="208"/>
      <c r="C19" s="193" t="str">
        <f>VLOOKUP(IF(Data!A280=1,D5,D6),Data!$A$256:$B$261,2,FALSE)&amp;"s = "&amp;TEXT(IF(Data!A280=1,Data!B239,Data!B245),"0.000")</f>
        <v>|Γmax|s = 0.048</v>
      </c>
      <c r="D19" s="195" t="str">
        <f>IF(Data!A280=1,E$5,E$6)</f>
        <v>C: Rayleigh</v>
      </c>
      <c r="E19" s="209"/>
      <c r="F19" s="205"/>
      <c r="H19" s="36"/>
      <c r="I19" s="16"/>
      <c r="J19" s="16"/>
      <c r="K19" s="16"/>
      <c r="L19" s="16"/>
      <c r="M19" s="16"/>
      <c r="N19" s="16"/>
      <c r="O19" s="16"/>
      <c r="P19" s="16"/>
      <c r="Q19" s="16"/>
    </row>
    <row r="20" spans="1:17" x14ac:dyDescent="0.2">
      <c r="A20" s="206" t="s">
        <v>36</v>
      </c>
      <c r="B20" s="208" t="s">
        <v>40</v>
      </c>
      <c r="C20" s="196" t="str">
        <f>"|Г|c = "&amp;TEXT(HLOOKUP(B11,Data!B248:D250,3),"0.000")</f>
        <v>|Г|c = 0.029</v>
      </c>
      <c r="D20" s="197" t="s">
        <v>202</v>
      </c>
      <c r="E20" s="209">
        <f>1/(SQRT(2)*VLOOKUP(E5,Data!$A$274:$D$276,4,FALSE)*0.7071)</f>
        <v>2.43094800756931</v>
      </c>
      <c r="F20" s="204">
        <f>Data!B241*Data!B240/calculator!E20</f>
        <v>7.3126048895278816E-4</v>
      </c>
      <c r="H20" s="36"/>
      <c r="I20" s="16"/>
      <c r="J20" s="16"/>
      <c r="K20" s="16"/>
      <c r="L20" s="16"/>
      <c r="M20" s="16"/>
      <c r="N20" s="16"/>
      <c r="O20" s="16"/>
      <c r="P20" s="16"/>
      <c r="Q20" s="16"/>
    </row>
    <row r="21" spans="1:17" x14ac:dyDescent="0.2">
      <c r="A21" s="207"/>
      <c r="B21" s="208"/>
      <c r="C21" s="196" t="str">
        <f>"|Гmax|sc = "&amp;TEXT(Data!B240,"0.000")</f>
        <v>|Гmax|sc = 0.061</v>
      </c>
      <c r="D21" s="195" t="str">
        <f>E$5</f>
        <v>C: Rayleigh</v>
      </c>
      <c r="E21" s="209"/>
      <c r="F21" s="205"/>
      <c r="H21" s="36"/>
      <c r="I21" s="16"/>
      <c r="J21" s="16"/>
      <c r="K21" s="16"/>
      <c r="L21" s="16"/>
      <c r="M21" s="16"/>
      <c r="N21" s="16"/>
      <c r="O21" s="16"/>
      <c r="P21" s="16"/>
      <c r="Q21" s="16"/>
    </row>
    <row r="22" spans="1:17" ht="15.75" x14ac:dyDescent="0.2">
      <c r="A22" s="37" t="s">
        <v>37</v>
      </c>
      <c r="B22" s="38" t="s">
        <v>41</v>
      </c>
      <c r="C22" s="198">
        <f>INDEX(Data!D3:G6,MATCH(calculator!B11,Data!D3:D6,1), MATCH(calculator!A22,Data!D3:G3,0))</f>
        <v>5.0000000000000001E-3</v>
      </c>
      <c r="D22" s="199" t="s">
        <v>15</v>
      </c>
      <c r="E22" s="39">
        <f>VLOOKUP(D22,Data!$A$252:$B$253,2,FALSE)</f>
        <v>2</v>
      </c>
      <c r="F22" s="40">
        <f>C22/E22</f>
        <v>2.5000000000000001E-3</v>
      </c>
      <c r="H22" s="36"/>
      <c r="I22" s="16"/>
      <c r="J22" s="16"/>
      <c r="K22" s="16"/>
      <c r="L22" s="16"/>
      <c r="M22" s="16"/>
      <c r="N22" s="16"/>
      <c r="O22" s="16"/>
      <c r="P22" s="16"/>
      <c r="Q22" s="16"/>
    </row>
    <row r="23" spans="1:17" ht="15.75" x14ac:dyDescent="0.2">
      <c r="A23" s="37" t="s">
        <v>38</v>
      </c>
      <c r="B23" s="38" t="s">
        <v>42</v>
      </c>
      <c r="C23" s="198">
        <f>INDEX(Data!D3:G6,MATCH(calculator!B11,Data!D3:D6,1), MATCH(calculator!A23,Data!D3:G3,0))</f>
        <v>5.0000000000000001E-3</v>
      </c>
      <c r="D23" s="199" t="s">
        <v>15</v>
      </c>
      <c r="E23" s="39">
        <f>VLOOKUP(D23,Data!$A$252:$B$253,2,FALSE)</f>
        <v>2</v>
      </c>
      <c r="F23" s="40">
        <f>C23/E23</f>
        <v>2.5000000000000001E-3</v>
      </c>
      <c r="G23" s="16"/>
      <c r="H23" s="36"/>
      <c r="I23" s="16"/>
      <c r="J23" s="16"/>
      <c r="K23" s="16"/>
      <c r="L23" s="16"/>
      <c r="M23" s="16"/>
      <c r="N23" s="16"/>
      <c r="O23" s="16"/>
      <c r="P23" s="16"/>
      <c r="Q23" s="16"/>
    </row>
    <row r="24" spans="1:17" ht="15.75" x14ac:dyDescent="0.2">
      <c r="A24" s="37" t="s">
        <v>39</v>
      </c>
      <c r="B24" s="38" t="s">
        <v>43</v>
      </c>
      <c r="C24" s="198">
        <f>INDEX(Data!D3:G6,MATCH(calculator!B11,Data!D3:D6,1), MATCH(calculator!A24,Data!D3:G3,0))</f>
        <v>5.0000000000000001E-3</v>
      </c>
      <c r="D24" s="199" t="s">
        <v>15</v>
      </c>
      <c r="E24" s="39">
        <f>VLOOKUP(D24,Data!$A$252:$B$253,2,FALSE)</f>
        <v>2</v>
      </c>
      <c r="F24" s="40">
        <f>C24/E24</f>
        <v>2.5000000000000001E-3</v>
      </c>
      <c r="G24" s="16"/>
      <c r="H24" s="36"/>
      <c r="I24" s="16"/>
      <c r="J24" s="16"/>
      <c r="K24" s="16"/>
      <c r="L24" s="16"/>
      <c r="M24" s="16"/>
      <c r="N24" s="16"/>
      <c r="O24" s="16"/>
      <c r="P24" s="16"/>
      <c r="Q24" s="16"/>
    </row>
    <row r="25" spans="1:17" ht="15.6" customHeight="1" x14ac:dyDescent="0.2">
      <c r="A25" s="41" t="s">
        <v>23</v>
      </c>
      <c r="B25" s="38" t="s">
        <v>13</v>
      </c>
      <c r="C25" s="200">
        <f>VLOOKUP(B5,Data!B80:E131,3,FALSE)</f>
        <v>1.5E-10</v>
      </c>
      <c r="D25" s="201" t="s">
        <v>15</v>
      </c>
      <c r="E25" s="39">
        <f>VLOOKUP(D25,Data!$A$252:$B$253,2,FALSE)</f>
        <v>2</v>
      </c>
      <c r="F25" s="42">
        <f>C25/E13/E25</f>
        <v>1.4964467362266593E-6</v>
      </c>
      <c r="G25" s="53"/>
      <c r="H25" s="36"/>
      <c r="I25" s="16"/>
      <c r="J25" s="16"/>
      <c r="K25" s="16"/>
      <c r="L25" s="16"/>
      <c r="M25" s="16"/>
      <c r="N25" s="16"/>
      <c r="O25" s="16"/>
      <c r="P25" s="16"/>
      <c r="Q25" s="16"/>
    </row>
    <row r="26" spans="1:17" ht="15.75" x14ac:dyDescent="0.2">
      <c r="A26" s="37" t="s">
        <v>35</v>
      </c>
      <c r="B26" s="38" t="s">
        <v>14</v>
      </c>
      <c r="C26" s="202">
        <f>IF(AND(OR(B5="E4412A", B5="E4413A"), B13&gt;0), INDEX(Data!A158:BA231, MATCH(calculator!B12,Data!A158:A231,1), MATCH(calculator!B5,Data!A158:BA158,0))+0.5%*B13, INDEX(Data!A158:BA231, MATCH(calculator!B12,Data!A158:A231,1), MATCH(calculator!B5,Data!A158:BA158,0)))</f>
        <v>1.7000000000000001E-2</v>
      </c>
      <c r="D26" s="201" t="s">
        <v>15</v>
      </c>
      <c r="E26" s="39">
        <f>VLOOKUP(D26,Data!$A$252:$B$253,2,FALSE)</f>
        <v>2</v>
      </c>
      <c r="F26" s="42">
        <f>C26/E26</f>
        <v>8.5000000000000006E-3</v>
      </c>
      <c r="G26" s="16"/>
      <c r="H26" s="36"/>
      <c r="I26" s="16"/>
      <c r="J26" s="16"/>
      <c r="K26" s="16"/>
      <c r="L26" s="16"/>
      <c r="M26" s="16"/>
      <c r="N26" s="16"/>
      <c r="O26" s="16"/>
      <c r="P26" s="16"/>
      <c r="Q26" s="16"/>
    </row>
    <row r="27" spans="1:17" ht="15.75" x14ac:dyDescent="0.2">
      <c r="A27" s="37" t="s">
        <v>16</v>
      </c>
      <c r="B27" s="38" t="s">
        <v>17</v>
      </c>
      <c r="C27" s="202">
        <f>INDEX(Data!A53:BA75, MATCH(calculator!B13,Data!A53:A75,1), MATCH(calculator!B5,Data!A53:BA53,0))</f>
        <v>0.03</v>
      </c>
      <c r="D27" s="201" t="s">
        <v>15</v>
      </c>
      <c r="E27" s="39">
        <f>VLOOKUP(D27,Data!$A$252:$B$253,2,FALSE)</f>
        <v>2</v>
      </c>
      <c r="F27" s="42">
        <f>C27/E27</f>
        <v>1.4999999999999999E-2</v>
      </c>
      <c r="G27" s="16"/>
      <c r="H27" s="36"/>
      <c r="I27" s="16"/>
      <c r="J27" s="16"/>
      <c r="K27" s="16"/>
      <c r="L27" s="16"/>
      <c r="M27" s="16"/>
      <c r="N27" s="16"/>
      <c r="O27" s="16"/>
      <c r="P27" s="16"/>
      <c r="Q27" s="16"/>
    </row>
    <row r="28" spans="1:17" ht="15.75" x14ac:dyDescent="0.2">
      <c r="A28" s="41" t="s">
        <v>22</v>
      </c>
      <c r="B28" s="38" t="s">
        <v>18</v>
      </c>
      <c r="C28" s="200">
        <f>VLOOKUP(B5,Data!B80:E131,2,FALSE)</f>
        <v>5.0000000000000003E-10</v>
      </c>
      <c r="D28" s="201" t="s">
        <v>15</v>
      </c>
      <c r="E28" s="39">
        <f>VLOOKUP(D28,Data!$A$252:$B$253,2,FALSE)</f>
        <v>2</v>
      </c>
      <c r="F28" s="42">
        <f>C28/E13/E28</f>
        <v>4.9881557874221982E-6</v>
      </c>
      <c r="G28" s="53"/>
      <c r="H28" s="36"/>
      <c r="I28" s="16"/>
      <c r="J28" s="16"/>
      <c r="K28" s="16"/>
      <c r="L28" s="16"/>
      <c r="M28" s="16"/>
      <c r="N28" s="16"/>
      <c r="O28" s="16"/>
      <c r="P28" s="16"/>
      <c r="Q28" s="16"/>
    </row>
    <row r="29" spans="1:17" ht="15.6" customHeight="1" x14ac:dyDescent="0.2">
      <c r="A29" s="41" t="s">
        <v>177</v>
      </c>
      <c r="B29" s="38" t="s">
        <v>19</v>
      </c>
      <c r="C29" s="200">
        <f>VLOOKUP(B5,Data!B80:E131,4,FALSE)</f>
        <v>6.9999999999999996E-10</v>
      </c>
      <c r="D29" s="201" t="s">
        <v>15</v>
      </c>
      <c r="E29" s="39">
        <f>VLOOKUP(D29,Data!$A$252:$B$253,2,FALSE)</f>
        <v>2</v>
      </c>
      <c r="F29" s="42">
        <f>C29*Data!B242/calculator!E13/E29</f>
        <v>3.840879956315092E-5</v>
      </c>
      <c r="G29" s="53"/>
      <c r="H29" s="36"/>
      <c r="I29" s="16"/>
      <c r="J29" s="16"/>
      <c r="K29" s="16"/>
      <c r="L29" s="16"/>
      <c r="M29" s="16"/>
      <c r="N29" s="16"/>
      <c r="O29" s="16"/>
      <c r="P29" s="16"/>
      <c r="Q29" s="16"/>
    </row>
    <row r="30" spans="1:17" x14ac:dyDescent="0.2">
      <c r="A30" s="16"/>
      <c r="B30" s="16"/>
      <c r="C30" s="15"/>
      <c r="D30" s="15"/>
      <c r="E30" s="43"/>
      <c r="F30" s="44"/>
    </row>
    <row r="31" spans="1:17" x14ac:dyDescent="0.2">
      <c r="B31" s="16"/>
      <c r="C31" s="16"/>
      <c r="E31" s="23" t="s">
        <v>166</v>
      </c>
      <c r="F31" s="45">
        <f>((F18^2+F20^2+F22^2+F23^2+F24^2+F25^2+F26^2+F27^2+F28^2+F29^2))^0.5</f>
        <v>1.7827272352082847E-2</v>
      </c>
    </row>
    <row r="32" spans="1:17" x14ac:dyDescent="0.2">
      <c r="B32" s="16"/>
      <c r="C32" s="30"/>
      <c r="E32" s="23" t="s">
        <v>167</v>
      </c>
      <c r="F32" s="203">
        <f>MAX(1.96,MIN(2,MAX(E22:E29)))</f>
        <v>2</v>
      </c>
    </row>
    <row r="33" spans="1:6" x14ac:dyDescent="0.2">
      <c r="A33" s="46" t="s">
        <v>201</v>
      </c>
      <c r="B33" s="16"/>
      <c r="C33" s="16"/>
      <c r="E33" s="47" t="s">
        <v>168</v>
      </c>
      <c r="F33" s="48">
        <f>F31*F32</f>
        <v>3.5654544704165694E-2</v>
      </c>
    </row>
    <row r="34" spans="1:6" x14ac:dyDescent="0.2">
      <c r="A34" s="25" t="s">
        <v>178</v>
      </c>
      <c r="B34" s="16"/>
      <c r="C34" s="15"/>
      <c r="E34" s="49" t="s">
        <v>169</v>
      </c>
      <c r="F34" s="50" t="str">
        <f>"+"&amp;TEXT(ABS(10*LOG((1+F33),10)),"0.000")&amp;" dB"</f>
        <v>+0.152 dB</v>
      </c>
    </row>
    <row r="35" spans="1:6" x14ac:dyDescent="0.2">
      <c r="A35" s="46" t="s">
        <v>179</v>
      </c>
      <c r="B35" s="16"/>
      <c r="C35" s="15"/>
      <c r="E35" s="49" t="s">
        <v>170</v>
      </c>
      <c r="F35" s="50" t="str">
        <f>"−"&amp;TEXT(ABS(10*LOG((1-F33),10)),"0.000")&amp;" dB"</f>
        <v>−0.158 dB</v>
      </c>
    </row>
    <row r="36" spans="1:6" x14ac:dyDescent="0.2">
      <c r="A36" s="16"/>
      <c r="B36" s="16"/>
      <c r="C36" s="16"/>
      <c r="D36" s="16"/>
      <c r="E36" s="16"/>
      <c r="F36" s="16"/>
    </row>
    <row r="38" spans="1:6" x14ac:dyDescent="0.2">
      <c r="A38" s="51" t="s">
        <v>215</v>
      </c>
    </row>
    <row r="39" spans="1:6" x14ac:dyDescent="0.2">
      <c r="A39" s="51" t="s">
        <v>216</v>
      </c>
    </row>
    <row r="41" spans="1:6" x14ac:dyDescent="0.2">
      <c r="A41" s="52" t="s">
        <v>214</v>
      </c>
    </row>
    <row r="42" spans="1:6" x14ac:dyDescent="0.2">
      <c r="A42" s="3" t="s">
        <v>175</v>
      </c>
    </row>
    <row r="43" spans="1:6" x14ac:dyDescent="0.2">
      <c r="A43" s="3" t="s">
        <v>176</v>
      </c>
    </row>
    <row r="44" spans="1:6" x14ac:dyDescent="0.2">
      <c r="A44" s="3" t="s">
        <v>184</v>
      </c>
    </row>
    <row r="45" spans="1:6" x14ac:dyDescent="0.2">
      <c r="A45" s="3" t="s">
        <v>185</v>
      </c>
    </row>
  </sheetData>
  <sheetProtection password="EC3E" sheet="1" objects="1" scenarios="1"/>
  <mergeCells count="9">
    <mergeCell ref="F20:F21"/>
    <mergeCell ref="A20:A21"/>
    <mergeCell ref="B20:B21"/>
    <mergeCell ref="E20:E21"/>
    <mergeCell ref="A7:A10"/>
    <mergeCell ref="F18:F19"/>
    <mergeCell ref="A18:A19"/>
    <mergeCell ref="B18:B19"/>
    <mergeCell ref="E18:E19"/>
  </mergeCells>
  <phoneticPr fontId="14" type="noConversion"/>
  <conditionalFormatting sqref="D8 A6 B6:C7 D6:E6">
    <cfRule type="expression" dxfId="1" priority="10">
      <formula>2-$B$2</formula>
    </cfRule>
  </conditionalFormatting>
  <conditionalFormatting sqref="C6:C7 D8">
    <cfRule type="expression" dxfId="0" priority="12">
      <formula>2-$B$2</formula>
    </cfRule>
  </conditionalFormatting>
  <dataValidations count="7">
    <dataValidation type="list" showInputMessage="1" showErrorMessage="1" sqref="D22:D29">
      <formula1>div</formula1>
    </dataValidation>
    <dataValidation type="list" allowBlank="1" showInputMessage="1" showErrorMessage="1" sqref="D4 D6">
      <formula1>GammaStyles</formula1>
    </dataValidation>
    <dataValidation type="list" allowBlank="1" showInputMessage="1" showErrorMessage="1" sqref="E4:E6">
      <formula1>GammaDistr</formula1>
    </dataValidation>
    <dataValidation type="list" showInputMessage="1" showErrorMessage="1" sqref="B14 H13">
      <formula1>avg</formula1>
    </dataValidation>
    <dataValidation type="list" allowBlank="1" showInputMessage="1" showErrorMessage="1" sqref="H14 B15">
      <formula1>type</formula1>
    </dataValidation>
    <dataValidation type="list" showInputMessage="1" showErrorMessage="1" sqref="B5 M11 M5 K5 K11 H4">
      <formula1>Model</formula1>
    </dataValidation>
    <dataValidation type="list" showInputMessage="1" showErrorMessage="1" sqref="B11 H5">
      <formula1>PowerMeter</formula1>
    </dataValidation>
  </dataValidations>
  <pageMargins left="0.75" right="0.75" top="1" bottom="1" header="0.5" footer="0.5"/>
  <pageSetup orientation="portrait" r:id="rId1"/>
  <headerFooter alignWithMargins="0"/>
  <ignoredErrors>
    <ignoredError sqref="F25" formula="1"/>
    <ignoredError sqref="F3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0</xdr:col>
                    <xdr:colOff>295275</xdr:colOff>
                    <xdr:row>6</xdr:row>
                    <xdr:rowOff>66675</xdr:rowOff>
                  </from>
                  <to>
                    <xdr:col>1</xdr:col>
                    <xdr:colOff>0</xdr:colOff>
                    <xdr:row>10</xdr:row>
                    <xdr:rowOff>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0</xdr:col>
                    <xdr:colOff>352425</xdr:colOff>
                    <xdr:row>7</xdr:row>
                    <xdr:rowOff>19050</xdr:rowOff>
                  </from>
                  <to>
                    <xdr:col>1</xdr:col>
                    <xdr:colOff>0</xdr:colOff>
                    <xdr:row>8</xdr:row>
                    <xdr:rowOff>76200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0</xdr:col>
                    <xdr:colOff>352425</xdr:colOff>
                    <xdr:row>8</xdr:row>
                    <xdr:rowOff>19050</xdr:rowOff>
                  </from>
                  <to>
                    <xdr:col>1</xdr:col>
                    <xdr:colOff>0</xdr:colOff>
                    <xdr:row>9</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J388"/>
  <sheetViews>
    <sheetView zoomScale="75" zoomScaleNormal="75" workbookViewId="0">
      <pane xSplit="1" ySplit="9" topLeftCell="B10" activePane="bottomRight" state="frozen"/>
      <selection pane="topRight" activeCell="B1" sqref="B1"/>
      <selection pane="bottomLeft" activeCell="A6" sqref="A6"/>
      <selection pane="bottomRight" activeCell="AG18" sqref="AG18"/>
    </sheetView>
  </sheetViews>
  <sheetFormatPr defaultRowHeight="12.75" x14ac:dyDescent="0.2"/>
  <cols>
    <col min="1" max="1" width="17" style="58" customWidth="1"/>
    <col min="2" max="2" width="15" style="58" customWidth="1"/>
    <col min="3" max="3" width="12.7109375" style="58" bestFit="1" customWidth="1"/>
    <col min="4" max="4" width="13.28515625" style="58" customWidth="1"/>
    <col min="5" max="6" width="11.85546875" style="58" customWidth="1"/>
    <col min="7" max="7" width="12.42578125" style="58" customWidth="1"/>
    <col min="8" max="8" width="11.5703125" style="58" bestFit="1" customWidth="1"/>
    <col min="9" max="22" width="11.5703125" style="58" customWidth="1"/>
    <col min="23" max="27" width="11.5703125" style="60" customWidth="1"/>
    <col min="28" max="30" width="11.5703125" style="58" customWidth="1"/>
    <col min="31" max="34" width="15.7109375" style="58" customWidth="1"/>
    <col min="35" max="36" width="11.85546875" style="61" customWidth="1"/>
    <col min="37" max="52" width="15.7109375" style="58" customWidth="1"/>
    <col min="53" max="53" width="13" style="58" customWidth="1"/>
    <col min="54" max="54" width="13.5703125" style="58" customWidth="1"/>
    <col min="55" max="16384" width="9.140625" style="58"/>
  </cols>
  <sheetData>
    <row r="1" spans="1:55" x14ac:dyDescent="0.2">
      <c r="D1" s="59" t="s">
        <v>57</v>
      </c>
    </row>
    <row r="3" spans="1:55" x14ac:dyDescent="0.2">
      <c r="D3" s="62" t="s">
        <v>44</v>
      </c>
      <c r="E3" s="62" t="s">
        <v>37</v>
      </c>
      <c r="F3" s="62" t="s">
        <v>38</v>
      </c>
      <c r="G3" s="62" t="s">
        <v>39</v>
      </c>
    </row>
    <row r="4" spans="1:55" x14ac:dyDescent="0.2">
      <c r="D4" s="63" t="s">
        <v>45</v>
      </c>
      <c r="E4" s="64">
        <v>5.0000000000000001E-3</v>
      </c>
      <c r="F4" s="64">
        <v>5.0000000000000001E-3</v>
      </c>
      <c r="G4" s="64">
        <v>5.0000000000000001E-3</v>
      </c>
    </row>
    <row r="5" spans="1:55" x14ac:dyDescent="0.2">
      <c r="D5" s="63" t="s">
        <v>46</v>
      </c>
      <c r="E5" s="64">
        <v>5.0000000000000001E-3</v>
      </c>
      <c r="F5" s="64">
        <v>5.0000000000000001E-3</v>
      </c>
      <c r="G5" s="64">
        <v>5.0000000000000001E-3</v>
      </c>
    </row>
    <row r="6" spans="1:55" x14ac:dyDescent="0.2">
      <c r="D6" s="63" t="s">
        <v>47</v>
      </c>
      <c r="E6" s="64">
        <v>5.0000000000000001E-3</v>
      </c>
      <c r="F6" s="64">
        <v>5.0000000000000001E-3</v>
      </c>
      <c r="G6" s="64">
        <v>4.0000000000000001E-3</v>
      </c>
    </row>
    <row r="7" spans="1:55" x14ac:dyDescent="0.2">
      <c r="A7" s="59" t="s">
        <v>20</v>
      </c>
    </row>
    <row r="9" spans="1:55" x14ac:dyDescent="0.2">
      <c r="A9" s="65" t="s">
        <v>0</v>
      </c>
      <c r="B9" s="65" t="s">
        <v>58</v>
      </c>
      <c r="C9" s="65" t="s">
        <v>59</v>
      </c>
      <c r="D9" s="65" t="s">
        <v>61</v>
      </c>
      <c r="E9" s="65" t="s">
        <v>60</v>
      </c>
      <c r="F9" s="66" t="s">
        <v>62</v>
      </c>
      <c r="G9" s="66" t="s">
        <v>63</v>
      </c>
      <c r="H9" s="66" t="s">
        <v>65</v>
      </c>
      <c r="I9" s="65" t="s">
        <v>67</v>
      </c>
      <c r="J9" s="65" t="s">
        <v>68</v>
      </c>
      <c r="K9" s="65" t="s">
        <v>74</v>
      </c>
      <c r="L9" s="65" t="s">
        <v>75</v>
      </c>
      <c r="M9" s="65" t="s">
        <v>69</v>
      </c>
      <c r="N9" s="65" t="s">
        <v>70</v>
      </c>
      <c r="O9" s="65" t="s">
        <v>71</v>
      </c>
      <c r="P9" s="65" t="s">
        <v>72</v>
      </c>
      <c r="Q9" s="65" t="s">
        <v>73</v>
      </c>
      <c r="R9" s="66" t="s">
        <v>78</v>
      </c>
      <c r="S9" s="66" t="s">
        <v>79</v>
      </c>
      <c r="T9" s="66" t="s">
        <v>80</v>
      </c>
      <c r="U9" s="66" t="s">
        <v>81</v>
      </c>
      <c r="V9" s="66" t="s">
        <v>82</v>
      </c>
      <c r="W9" s="66" t="s">
        <v>83</v>
      </c>
      <c r="X9" s="66" t="s">
        <v>84</v>
      </c>
      <c r="Y9" s="66" t="s">
        <v>85</v>
      </c>
      <c r="Z9" s="66" t="s">
        <v>86</v>
      </c>
      <c r="AA9" s="65" t="s">
        <v>48</v>
      </c>
      <c r="AB9" s="65" t="s">
        <v>49</v>
      </c>
      <c r="AC9" s="65" t="s">
        <v>50</v>
      </c>
      <c r="AD9" s="66" t="s">
        <v>54</v>
      </c>
      <c r="AE9" s="66" t="s">
        <v>55</v>
      </c>
      <c r="AF9" s="66" t="s">
        <v>56</v>
      </c>
      <c r="AG9" s="66" t="s">
        <v>64</v>
      </c>
      <c r="AH9" s="66" t="s">
        <v>66</v>
      </c>
      <c r="AI9" s="66" t="s">
        <v>210</v>
      </c>
      <c r="AJ9" s="66" t="s">
        <v>211</v>
      </c>
      <c r="AK9" s="65" t="s">
        <v>76</v>
      </c>
      <c r="AL9" s="65" t="s">
        <v>77</v>
      </c>
      <c r="AM9" s="66" t="s">
        <v>111</v>
      </c>
      <c r="AN9" s="67" t="s">
        <v>193</v>
      </c>
      <c r="AO9" s="66" t="s">
        <v>112</v>
      </c>
      <c r="AP9" s="66" t="s">
        <v>113</v>
      </c>
      <c r="AQ9" s="66" t="s">
        <v>114</v>
      </c>
      <c r="AR9" s="66" t="s">
        <v>115</v>
      </c>
      <c r="AS9" s="66" t="s">
        <v>116</v>
      </c>
      <c r="AT9" s="66" t="s">
        <v>117</v>
      </c>
      <c r="AU9" s="66" t="s">
        <v>118</v>
      </c>
      <c r="AV9" s="66" t="s">
        <v>119</v>
      </c>
      <c r="AW9" s="66" t="s">
        <v>120</v>
      </c>
      <c r="AX9" s="66" t="s">
        <v>121</v>
      </c>
      <c r="AY9" s="66" t="s">
        <v>122</v>
      </c>
      <c r="AZ9" s="66" t="s">
        <v>123</v>
      </c>
      <c r="BA9" s="66" t="s">
        <v>124</v>
      </c>
      <c r="BB9" s="68"/>
      <c r="BC9" s="69"/>
    </row>
    <row r="10" spans="1:55" x14ac:dyDescent="0.2">
      <c r="A10" s="70">
        <f>9000/1000000000</f>
        <v>9.0000000000000002E-6</v>
      </c>
      <c r="B10" s="71" t="s">
        <v>31</v>
      </c>
      <c r="C10" s="71" t="s">
        <v>31</v>
      </c>
      <c r="D10" s="71" t="s">
        <v>31</v>
      </c>
      <c r="E10" s="71" t="s">
        <v>31</v>
      </c>
      <c r="F10" s="71" t="s">
        <v>31</v>
      </c>
      <c r="G10" s="71" t="s">
        <v>31</v>
      </c>
      <c r="H10" s="71" t="s">
        <v>31</v>
      </c>
      <c r="I10" s="71" t="s">
        <v>31</v>
      </c>
      <c r="J10" s="71" t="s">
        <v>31</v>
      </c>
      <c r="K10" s="71" t="s">
        <v>31</v>
      </c>
      <c r="L10" s="71" t="s">
        <v>31</v>
      </c>
      <c r="M10" s="71" t="s">
        <v>31</v>
      </c>
      <c r="N10" s="71" t="s">
        <v>31</v>
      </c>
      <c r="O10" s="71" t="s">
        <v>31</v>
      </c>
      <c r="P10" s="71" t="s">
        <v>31</v>
      </c>
      <c r="Q10" s="71" t="s">
        <v>31</v>
      </c>
      <c r="R10" s="71" t="s">
        <v>31</v>
      </c>
      <c r="S10" s="71" t="s">
        <v>31</v>
      </c>
      <c r="T10" s="71" t="s">
        <v>31</v>
      </c>
      <c r="U10" s="71" t="s">
        <v>31</v>
      </c>
      <c r="V10" s="72">
        <v>1.1299999999999999</v>
      </c>
      <c r="W10" s="71" t="s">
        <v>31</v>
      </c>
      <c r="X10" s="71" t="s">
        <v>31</v>
      </c>
      <c r="Y10" s="71" t="s">
        <v>31</v>
      </c>
      <c r="Z10" s="71" t="s">
        <v>31</v>
      </c>
      <c r="AA10" s="71" t="s">
        <v>31</v>
      </c>
      <c r="AB10" s="71" t="s">
        <v>31</v>
      </c>
      <c r="AC10" s="71" t="s">
        <v>31</v>
      </c>
      <c r="AD10" s="71" t="s">
        <v>31</v>
      </c>
      <c r="AE10" s="71" t="s">
        <v>31</v>
      </c>
      <c r="AF10" s="71" t="s">
        <v>31</v>
      </c>
      <c r="AG10" s="71" t="s">
        <v>31</v>
      </c>
      <c r="AH10" s="71" t="s">
        <v>31</v>
      </c>
      <c r="AI10" s="73" t="s">
        <v>31</v>
      </c>
      <c r="AJ10" s="73" t="s">
        <v>31</v>
      </c>
      <c r="AK10" s="71" t="s">
        <v>31</v>
      </c>
      <c r="AL10" s="71" t="s">
        <v>31</v>
      </c>
      <c r="AM10" s="72" t="s">
        <v>31</v>
      </c>
      <c r="AN10" s="73" t="s">
        <v>31</v>
      </c>
      <c r="AO10" s="72" t="s">
        <v>31</v>
      </c>
      <c r="AP10" s="72" t="s">
        <v>31</v>
      </c>
      <c r="AQ10" s="72" t="s">
        <v>31</v>
      </c>
      <c r="AR10" s="72" t="s">
        <v>31</v>
      </c>
      <c r="AS10" s="72" t="s">
        <v>31</v>
      </c>
      <c r="AT10" s="72" t="s">
        <v>31</v>
      </c>
      <c r="AU10" s="72" t="s">
        <v>31</v>
      </c>
      <c r="AV10" s="72" t="s">
        <v>31</v>
      </c>
      <c r="AW10" s="72" t="s">
        <v>31</v>
      </c>
      <c r="AX10" s="72" t="s">
        <v>31</v>
      </c>
      <c r="AY10" s="72" t="s">
        <v>31</v>
      </c>
      <c r="AZ10" s="72" t="s">
        <v>31</v>
      </c>
      <c r="BA10" s="72" t="s">
        <v>31</v>
      </c>
      <c r="BB10" s="74"/>
      <c r="BC10" s="69"/>
    </row>
    <row r="11" spans="1:55" x14ac:dyDescent="0.2">
      <c r="A11" s="70">
        <f>100000/1000000000</f>
        <v>1E-4</v>
      </c>
      <c r="B11" s="71" t="s">
        <v>31</v>
      </c>
      <c r="C11" s="70">
        <v>1.6</v>
      </c>
      <c r="D11" s="70">
        <v>1.8</v>
      </c>
      <c r="E11" s="71" t="s">
        <v>31</v>
      </c>
      <c r="F11" s="71" t="s">
        <v>31</v>
      </c>
      <c r="G11" s="71" t="s">
        <v>31</v>
      </c>
      <c r="H11" s="71" t="s">
        <v>31</v>
      </c>
      <c r="I11" s="71" t="s">
        <v>31</v>
      </c>
      <c r="J11" s="70">
        <v>1.1000000000000001</v>
      </c>
      <c r="K11" s="71" t="s">
        <v>31</v>
      </c>
      <c r="L11" s="70">
        <v>1.2</v>
      </c>
      <c r="M11" s="71" t="s">
        <v>31</v>
      </c>
      <c r="N11" s="71" t="s">
        <v>31</v>
      </c>
      <c r="O11" s="71" t="s">
        <v>31</v>
      </c>
      <c r="P11" s="71" t="s">
        <v>31</v>
      </c>
      <c r="Q11" s="71" t="s">
        <v>31</v>
      </c>
      <c r="R11" s="71" t="s">
        <v>31</v>
      </c>
      <c r="S11" s="71" t="s">
        <v>31</v>
      </c>
      <c r="T11" s="71" t="s">
        <v>31</v>
      </c>
      <c r="U11" s="71" t="s">
        <v>31</v>
      </c>
      <c r="V11" s="72">
        <v>1.1299999999999999</v>
      </c>
      <c r="W11" s="71" t="s">
        <v>31</v>
      </c>
      <c r="X11" s="71" t="s">
        <v>31</v>
      </c>
      <c r="Y11" s="71" t="s">
        <v>31</v>
      </c>
      <c r="Z11" s="71" t="s">
        <v>31</v>
      </c>
      <c r="AA11" s="71" t="s">
        <v>31</v>
      </c>
      <c r="AB11" s="71">
        <v>1.52</v>
      </c>
      <c r="AC11" s="71" t="s">
        <v>31</v>
      </c>
      <c r="AD11" s="71" t="s">
        <v>31</v>
      </c>
      <c r="AE11" s="71">
        <v>1.52</v>
      </c>
      <c r="AF11" s="71" t="s">
        <v>31</v>
      </c>
      <c r="AG11" s="71" t="s">
        <v>31</v>
      </c>
      <c r="AH11" s="71" t="s">
        <v>31</v>
      </c>
      <c r="AI11" s="73" t="s">
        <v>31</v>
      </c>
      <c r="AJ11" s="73" t="s">
        <v>31</v>
      </c>
      <c r="AK11" s="71" t="s">
        <v>31</v>
      </c>
      <c r="AL11" s="71" t="s">
        <v>31</v>
      </c>
      <c r="AM11" s="72" t="s">
        <v>31</v>
      </c>
      <c r="AN11" s="73" t="s">
        <v>31</v>
      </c>
      <c r="AO11" s="72" t="s">
        <v>31</v>
      </c>
      <c r="AP11" s="71">
        <v>1.08</v>
      </c>
      <c r="AQ11" s="72" t="s">
        <v>31</v>
      </c>
      <c r="AR11" s="75">
        <v>1.1299999999999999</v>
      </c>
      <c r="AS11" s="72" t="s">
        <v>31</v>
      </c>
      <c r="AT11" s="72" t="s">
        <v>31</v>
      </c>
      <c r="AU11" s="72" t="s">
        <v>31</v>
      </c>
      <c r="AV11" s="72" t="s">
        <v>31</v>
      </c>
      <c r="AW11" s="71">
        <v>1.08</v>
      </c>
      <c r="AX11" s="72" t="s">
        <v>31</v>
      </c>
      <c r="AY11" s="75">
        <v>1.1299999999999999</v>
      </c>
      <c r="AZ11" s="72" t="s">
        <v>31</v>
      </c>
      <c r="BA11" s="72" t="s">
        <v>31</v>
      </c>
      <c r="BB11" s="74"/>
      <c r="BC11" s="69"/>
    </row>
    <row r="12" spans="1:55" x14ac:dyDescent="0.2">
      <c r="A12" s="70">
        <f>300000/1000000000</f>
        <v>2.9999999999999997E-4</v>
      </c>
      <c r="B12" s="71" t="s">
        <v>31</v>
      </c>
      <c r="C12" s="70">
        <v>1.2</v>
      </c>
      <c r="D12" s="70">
        <v>1.8</v>
      </c>
      <c r="E12" s="71" t="s">
        <v>31</v>
      </c>
      <c r="F12" s="71" t="s">
        <v>31</v>
      </c>
      <c r="G12" s="71" t="s">
        <v>31</v>
      </c>
      <c r="H12" s="71" t="s">
        <v>31</v>
      </c>
      <c r="I12" s="71" t="s">
        <v>31</v>
      </c>
      <c r="J12" s="70">
        <v>1.1000000000000001</v>
      </c>
      <c r="K12" s="71" t="s">
        <v>31</v>
      </c>
      <c r="L12" s="70">
        <v>1.2</v>
      </c>
      <c r="M12" s="71" t="s">
        <v>31</v>
      </c>
      <c r="N12" s="71" t="s">
        <v>31</v>
      </c>
      <c r="O12" s="71" t="s">
        <v>31</v>
      </c>
      <c r="P12" s="71" t="s">
        <v>31</v>
      </c>
      <c r="Q12" s="71" t="s">
        <v>31</v>
      </c>
      <c r="R12" s="71" t="s">
        <v>31</v>
      </c>
      <c r="S12" s="71" t="s">
        <v>31</v>
      </c>
      <c r="T12" s="71" t="s">
        <v>31</v>
      </c>
      <c r="U12" s="71" t="s">
        <v>31</v>
      </c>
      <c r="V12" s="72">
        <v>1.1299999999999999</v>
      </c>
      <c r="W12" s="71" t="s">
        <v>31</v>
      </c>
      <c r="X12" s="71" t="s">
        <v>31</v>
      </c>
      <c r="Y12" s="71" t="s">
        <v>31</v>
      </c>
      <c r="Z12" s="71" t="s">
        <v>31</v>
      </c>
      <c r="AA12" s="71" t="s">
        <v>31</v>
      </c>
      <c r="AB12" s="71">
        <v>1.1200000000000001</v>
      </c>
      <c r="AC12" s="71" t="s">
        <v>31</v>
      </c>
      <c r="AD12" s="71" t="s">
        <v>31</v>
      </c>
      <c r="AE12" s="71">
        <v>1.1200000000000001</v>
      </c>
      <c r="AF12" s="71" t="s">
        <v>31</v>
      </c>
      <c r="AG12" s="71" t="s">
        <v>31</v>
      </c>
      <c r="AH12" s="71" t="s">
        <v>31</v>
      </c>
      <c r="AI12" s="73" t="s">
        <v>31</v>
      </c>
      <c r="AJ12" s="73" t="s">
        <v>31</v>
      </c>
      <c r="AK12" s="71" t="s">
        <v>31</v>
      </c>
      <c r="AL12" s="71" t="s">
        <v>31</v>
      </c>
      <c r="AM12" s="72" t="s">
        <v>31</v>
      </c>
      <c r="AN12" s="73" t="s">
        <v>31</v>
      </c>
      <c r="AO12" s="72" t="s">
        <v>31</v>
      </c>
      <c r="AP12" s="71">
        <v>1.08</v>
      </c>
      <c r="AQ12" s="72" t="s">
        <v>31</v>
      </c>
      <c r="AR12" s="75">
        <v>1.1299999999999999</v>
      </c>
      <c r="AS12" s="72" t="s">
        <v>31</v>
      </c>
      <c r="AT12" s="72" t="s">
        <v>31</v>
      </c>
      <c r="AU12" s="72" t="s">
        <v>31</v>
      </c>
      <c r="AV12" s="72" t="s">
        <v>31</v>
      </c>
      <c r="AW12" s="71">
        <v>1.08</v>
      </c>
      <c r="AX12" s="72" t="s">
        <v>31</v>
      </c>
      <c r="AY12" s="75">
        <v>1.1299999999999999</v>
      </c>
      <c r="AZ12" s="72" t="s">
        <v>31</v>
      </c>
      <c r="BA12" s="72" t="s">
        <v>31</v>
      </c>
      <c r="BB12" s="74"/>
      <c r="BC12" s="69"/>
    </row>
    <row r="13" spans="1:55" x14ac:dyDescent="0.2">
      <c r="A13" s="70">
        <f>600000/1000000000</f>
        <v>5.9999999999999995E-4</v>
      </c>
      <c r="B13" s="71" t="s">
        <v>31</v>
      </c>
      <c r="C13" s="70">
        <v>1.2</v>
      </c>
      <c r="D13" s="70">
        <v>1.18</v>
      </c>
      <c r="E13" s="71" t="s">
        <v>31</v>
      </c>
      <c r="F13" s="71" t="s">
        <v>31</v>
      </c>
      <c r="G13" s="71" t="s">
        <v>31</v>
      </c>
      <c r="H13" s="71" t="s">
        <v>31</v>
      </c>
      <c r="I13" s="71" t="s">
        <v>31</v>
      </c>
      <c r="J13" s="70">
        <v>1.1000000000000001</v>
      </c>
      <c r="K13" s="71" t="s">
        <v>31</v>
      </c>
      <c r="L13" s="70">
        <v>1.2</v>
      </c>
      <c r="M13" s="71" t="s">
        <v>31</v>
      </c>
      <c r="N13" s="71" t="s">
        <v>31</v>
      </c>
      <c r="O13" s="71" t="s">
        <v>31</v>
      </c>
      <c r="P13" s="71" t="s">
        <v>31</v>
      </c>
      <c r="Q13" s="71" t="s">
        <v>31</v>
      </c>
      <c r="R13" s="71" t="s">
        <v>31</v>
      </c>
      <c r="S13" s="71" t="s">
        <v>31</v>
      </c>
      <c r="T13" s="71" t="s">
        <v>31</v>
      </c>
      <c r="U13" s="71" t="s">
        <v>31</v>
      </c>
      <c r="V13" s="72">
        <v>1.1299999999999999</v>
      </c>
      <c r="W13" s="71" t="s">
        <v>31</v>
      </c>
      <c r="X13" s="71" t="s">
        <v>31</v>
      </c>
      <c r="Y13" s="71" t="s">
        <v>31</v>
      </c>
      <c r="Z13" s="71" t="s">
        <v>31</v>
      </c>
      <c r="AA13" s="71" t="s">
        <v>31</v>
      </c>
      <c r="AB13" s="71">
        <v>1.1200000000000001</v>
      </c>
      <c r="AC13" s="71" t="s">
        <v>31</v>
      </c>
      <c r="AD13" s="71" t="s">
        <v>31</v>
      </c>
      <c r="AE13" s="71">
        <v>1.1200000000000001</v>
      </c>
      <c r="AF13" s="71" t="s">
        <v>31</v>
      </c>
      <c r="AG13" s="71" t="s">
        <v>31</v>
      </c>
      <c r="AH13" s="71" t="s">
        <v>31</v>
      </c>
      <c r="AI13" s="73" t="s">
        <v>31</v>
      </c>
      <c r="AJ13" s="73" t="s">
        <v>31</v>
      </c>
      <c r="AK13" s="71" t="s">
        <v>31</v>
      </c>
      <c r="AL13" s="71" t="s">
        <v>31</v>
      </c>
      <c r="AM13" s="72" t="s">
        <v>31</v>
      </c>
      <c r="AN13" s="73" t="s">
        <v>31</v>
      </c>
      <c r="AO13" s="72" t="s">
        <v>31</v>
      </c>
      <c r="AP13" s="71">
        <v>1.08</v>
      </c>
      <c r="AQ13" s="72" t="s">
        <v>31</v>
      </c>
      <c r="AR13" s="75">
        <v>1.1299999999999999</v>
      </c>
      <c r="AS13" s="72" t="s">
        <v>31</v>
      </c>
      <c r="AT13" s="72" t="s">
        <v>31</v>
      </c>
      <c r="AU13" s="72" t="s">
        <v>31</v>
      </c>
      <c r="AV13" s="72" t="s">
        <v>31</v>
      </c>
      <c r="AW13" s="71">
        <v>1.08</v>
      </c>
      <c r="AX13" s="72" t="s">
        <v>31</v>
      </c>
      <c r="AY13" s="75">
        <v>1.1299999999999999</v>
      </c>
      <c r="AZ13" s="72" t="s">
        <v>31</v>
      </c>
      <c r="BA13" s="72" t="s">
        <v>31</v>
      </c>
      <c r="BB13" s="74"/>
      <c r="BC13" s="69"/>
    </row>
    <row r="14" spans="1:55" x14ac:dyDescent="0.2">
      <c r="A14" s="70">
        <f>1000000/1000000000</f>
        <v>1E-3</v>
      </c>
      <c r="B14" s="71" t="s">
        <v>31</v>
      </c>
      <c r="C14" s="70">
        <v>1.1000000000000001</v>
      </c>
      <c r="D14" s="70">
        <v>1.18</v>
      </c>
      <c r="E14" s="71" t="s">
        <v>31</v>
      </c>
      <c r="F14" s="71" t="s">
        <v>31</v>
      </c>
      <c r="G14" s="71" t="s">
        <v>31</v>
      </c>
      <c r="H14" s="71" t="s">
        <v>31</v>
      </c>
      <c r="I14" s="71" t="s">
        <v>31</v>
      </c>
      <c r="J14" s="70">
        <v>1.1000000000000001</v>
      </c>
      <c r="K14" s="71" t="s">
        <v>31</v>
      </c>
      <c r="L14" s="70">
        <v>1.2</v>
      </c>
      <c r="M14" s="71" t="s">
        <v>31</v>
      </c>
      <c r="N14" s="71" t="s">
        <v>31</v>
      </c>
      <c r="O14" s="71" t="s">
        <v>31</v>
      </c>
      <c r="P14" s="71" t="s">
        <v>31</v>
      </c>
      <c r="Q14" s="71" t="s">
        <v>31</v>
      </c>
      <c r="R14" s="71" t="s">
        <v>31</v>
      </c>
      <c r="S14" s="71" t="s">
        <v>31</v>
      </c>
      <c r="T14" s="71" t="s">
        <v>31</v>
      </c>
      <c r="U14" s="71" t="s">
        <v>31</v>
      </c>
      <c r="V14" s="72">
        <v>1.1299999999999999</v>
      </c>
      <c r="W14" s="71" t="s">
        <v>31</v>
      </c>
      <c r="X14" s="71" t="s">
        <v>31</v>
      </c>
      <c r="Y14" s="71" t="s">
        <v>31</v>
      </c>
      <c r="Z14" s="71" t="s">
        <v>31</v>
      </c>
      <c r="AA14" s="71" t="s">
        <v>31</v>
      </c>
      <c r="AB14" s="71">
        <v>1.06</v>
      </c>
      <c r="AC14" s="71" t="s">
        <v>31</v>
      </c>
      <c r="AD14" s="71" t="s">
        <v>31</v>
      </c>
      <c r="AE14" s="71">
        <v>1.06</v>
      </c>
      <c r="AF14" s="71" t="s">
        <v>31</v>
      </c>
      <c r="AG14" s="71" t="s">
        <v>31</v>
      </c>
      <c r="AH14" s="71" t="s">
        <v>31</v>
      </c>
      <c r="AI14" s="73" t="s">
        <v>31</v>
      </c>
      <c r="AJ14" s="73" t="s">
        <v>31</v>
      </c>
      <c r="AK14" s="71" t="s">
        <v>31</v>
      </c>
      <c r="AL14" s="71" t="s">
        <v>31</v>
      </c>
      <c r="AM14" s="72" t="s">
        <v>31</v>
      </c>
      <c r="AN14" s="73" t="s">
        <v>31</v>
      </c>
      <c r="AO14" s="72" t="s">
        <v>31</v>
      </c>
      <c r="AP14" s="71">
        <v>1.08</v>
      </c>
      <c r="AQ14" s="72" t="s">
        <v>31</v>
      </c>
      <c r="AR14" s="75">
        <v>1.1299999999999999</v>
      </c>
      <c r="AS14" s="72" t="s">
        <v>31</v>
      </c>
      <c r="AT14" s="72" t="s">
        <v>31</v>
      </c>
      <c r="AU14" s="72" t="s">
        <v>31</v>
      </c>
      <c r="AV14" s="72" t="s">
        <v>31</v>
      </c>
      <c r="AW14" s="71">
        <v>1.08</v>
      </c>
      <c r="AX14" s="72" t="s">
        <v>31</v>
      </c>
      <c r="AY14" s="75">
        <v>1.1299999999999999</v>
      </c>
      <c r="AZ14" s="72" t="s">
        <v>31</v>
      </c>
      <c r="BA14" s="72" t="s">
        <v>31</v>
      </c>
      <c r="BB14" s="74"/>
      <c r="BC14" s="69"/>
    </row>
    <row r="15" spans="1:55" x14ac:dyDescent="0.2">
      <c r="A15" s="71">
        <f>10000000/1000000000</f>
        <v>0.01</v>
      </c>
      <c r="B15" s="71">
        <v>1.4</v>
      </c>
      <c r="C15" s="70">
        <v>1.1000000000000001</v>
      </c>
      <c r="D15" s="70">
        <v>1.18</v>
      </c>
      <c r="E15" s="71" t="s">
        <v>31</v>
      </c>
      <c r="F15" s="71" t="s">
        <v>31</v>
      </c>
      <c r="G15" s="71" t="s">
        <v>31</v>
      </c>
      <c r="H15" s="71" t="s">
        <v>31</v>
      </c>
      <c r="I15" s="71">
        <v>1.1000000000000001</v>
      </c>
      <c r="J15" s="70">
        <v>1.1000000000000001</v>
      </c>
      <c r="K15" s="71">
        <v>1.2</v>
      </c>
      <c r="L15" s="70">
        <v>1.2</v>
      </c>
      <c r="M15" s="71">
        <v>1.4</v>
      </c>
      <c r="N15" s="71" t="s">
        <v>31</v>
      </c>
      <c r="O15" s="71" t="s">
        <v>31</v>
      </c>
      <c r="P15" s="71" t="s">
        <v>31</v>
      </c>
      <c r="Q15" s="71" t="s">
        <v>31</v>
      </c>
      <c r="R15" s="76">
        <v>1.22</v>
      </c>
      <c r="S15" s="71" t="s">
        <v>31</v>
      </c>
      <c r="T15" s="71">
        <v>1.1499999999999999</v>
      </c>
      <c r="U15" s="71">
        <v>1.1499999999999999</v>
      </c>
      <c r="V15" s="72">
        <v>1.1299999999999999</v>
      </c>
      <c r="W15" s="71">
        <v>1.1200000000000001</v>
      </c>
      <c r="X15" s="77">
        <v>1.1200000000000001</v>
      </c>
      <c r="Y15" s="77">
        <v>1.1499999999999999</v>
      </c>
      <c r="Z15" s="77">
        <v>1.1499999999999999</v>
      </c>
      <c r="AA15" s="77">
        <v>1.37</v>
      </c>
      <c r="AB15" s="71">
        <v>1.06</v>
      </c>
      <c r="AC15" s="77">
        <v>1.33</v>
      </c>
      <c r="AD15" s="77">
        <v>1.37</v>
      </c>
      <c r="AE15" s="71">
        <v>1.06</v>
      </c>
      <c r="AF15" s="77">
        <v>1.33</v>
      </c>
      <c r="AG15" s="71" t="s">
        <v>31</v>
      </c>
      <c r="AH15" s="71" t="s">
        <v>31</v>
      </c>
      <c r="AI15" s="73" t="s">
        <v>31</v>
      </c>
      <c r="AJ15" s="73" t="s">
        <v>31</v>
      </c>
      <c r="AK15" s="71" t="s">
        <v>31</v>
      </c>
      <c r="AL15" s="71" t="s">
        <v>31</v>
      </c>
      <c r="AM15" s="72" t="s">
        <v>31</v>
      </c>
      <c r="AN15" s="78">
        <v>1.03</v>
      </c>
      <c r="AO15" s="71">
        <v>1.0900000000000001</v>
      </c>
      <c r="AP15" s="71">
        <v>1.08</v>
      </c>
      <c r="AQ15" s="79">
        <v>1.1599999999999999</v>
      </c>
      <c r="AR15" s="75">
        <v>1.1299999999999999</v>
      </c>
      <c r="AS15" s="72" t="s">
        <v>31</v>
      </c>
      <c r="AT15" s="72" t="s">
        <v>31</v>
      </c>
      <c r="AU15" s="72" t="s">
        <v>31</v>
      </c>
      <c r="AV15" s="71">
        <v>1.0900000000000001</v>
      </c>
      <c r="AW15" s="71">
        <v>1.08</v>
      </c>
      <c r="AX15" s="79">
        <v>1.1599999999999999</v>
      </c>
      <c r="AY15" s="75">
        <v>1.1299999999999999</v>
      </c>
      <c r="AZ15" s="72" t="s">
        <v>31</v>
      </c>
      <c r="BA15" s="72" t="s">
        <v>31</v>
      </c>
      <c r="BB15" s="74"/>
      <c r="BC15" s="69"/>
    </row>
    <row r="16" spans="1:55" x14ac:dyDescent="0.2">
      <c r="A16" s="71">
        <f>30000000/1000000000</f>
        <v>0.03</v>
      </c>
      <c r="B16" s="71">
        <v>1.18</v>
      </c>
      <c r="C16" s="70">
        <v>1.1000000000000001</v>
      </c>
      <c r="D16" s="70">
        <v>1.18</v>
      </c>
      <c r="E16" s="71" t="s">
        <v>31</v>
      </c>
      <c r="F16" s="71" t="s">
        <v>31</v>
      </c>
      <c r="G16" s="71" t="s">
        <v>31</v>
      </c>
      <c r="H16" s="71" t="s">
        <v>31</v>
      </c>
      <c r="I16" s="71">
        <v>1.1000000000000001</v>
      </c>
      <c r="J16" s="70">
        <v>1.1000000000000001</v>
      </c>
      <c r="K16" s="71">
        <v>1.2</v>
      </c>
      <c r="L16" s="70">
        <v>1.2</v>
      </c>
      <c r="M16" s="71">
        <v>1.1499999999999999</v>
      </c>
      <c r="N16" s="71" t="s">
        <v>31</v>
      </c>
      <c r="O16" s="71" t="s">
        <v>31</v>
      </c>
      <c r="P16" s="71" t="s">
        <v>31</v>
      </c>
      <c r="Q16" s="71" t="s">
        <v>31</v>
      </c>
      <c r="R16" s="71">
        <v>1.1499999999999999</v>
      </c>
      <c r="S16" s="71" t="s">
        <v>31</v>
      </c>
      <c r="T16" s="71">
        <v>1.1299999999999999</v>
      </c>
      <c r="U16" s="71">
        <v>1.1299999999999999</v>
      </c>
      <c r="V16" s="72">
        <v>1.1299999999999999</v>
      </c>
      <c r="W16" s="71">
        <v>1.1200000000000001</v>
      </c>
      <c r="X16" s="77">
        <v>1.1200000000000001</v>
      </c>
      <c r="Y16" s="77">
        <v>1.1499999999999999</v>
      </c>
      <c r="Z16" s="77">
        <v>1.1499999999999999</v>
      </c>
      <c r="AA16" s="77">
        <v>1.1000000000000001</v>
      </c>
      <c r="AB16" s="71">
        <v>1.06</v>
      </c>
      <c r="AC16" s="77">
        <v>1.33</v>
      </c>
      <c r="AD16" s="77">
        <v>1.1000000000000001</v>
      </c>
      <c r="AE16" s="71">
        <v>1.06</v>
      </c>
      <c r="AF16" s="77">
        <v>1.33</v>
      </c>
      <c r="AG16" s="71" t="s">
        <v>31</v>
      </c>
      <c r="AH16" s="71" t="s">
        <v>31</v>
      </c>
      <c r="AI16" s="73" t="s">
        <v>31</v>
      </c>
      <c r="AJ16" s="73" t="s">
        <v>31</v>
      </c>
      <c r="AK16" s="71" t="s">
        <v>31</v>
      </c>
      <c r="AL16" s="71" t="s">
        <v>31</v>
      </c>
      <c r="AM16" s="72" t="s">
        <v>31</v>
      </c>
      <c r="AN16" s="78">
        <v>1.03</v>
      </c>
      <c r="AO16" s="71">
        <v>1.0900000000000001</v>
      </c>
      <c r="AP16" s="71">
        <v>1.08</v>
      </c>
      <c r="AQ16" s="79">
        <v>1.1599999999999999</v>
      </c>
      <c r="AR16" s="75">
        <v>1.1299999999999999</v>
      </c>
      <c r="AS16" s="72" t="s">
        <v>31</v>
      </c>
      <c r="AT16" s="72" t="s">
        <v>31</v>
      </c>
      <c r="AU16" s="72" t="s">
        <v>31</v>
      </c>
      <c r="AV16" s="71">
        <v>1.0900000000000001</v>
      </c>
      <c r="AW16" s="71">
        <v>1.08</v>
      </c>
      <c r="AX16" s="79">
        <v>1.1599999999999999</v>
      </c>
      <c r="AY16" s="75">
        <v>1.1299999999999999</v>
      </c>
      <c r="AZ16" s="72" t="s">
        <v>31</v>
      </c>
      <c r="BA16" s="72" t="s">
        <v>31</v>
      </c>
      <c r="BB16" s="74"/>
      <c r="BC16" s="69"/>
    </row>
    <row r="17" spans="1:55" x14ac:dyDescent="0.2">
      <c r="A17" s="71">
        <f>50000000/1000000000</f>
        <v>0.05</v>
      </c>
      <c r="B17" s="71">
        <v>1.1000000000000001</v>
      </c>
      <c r="C17" s="70">
        <v>1.1000000000000001</v>
      </c>
      <c r="D17" s="70">
        <v>1.18</v>
      </c>
      <c r="E17" s="71">
        <v>1.1499999999999999</v>
      </c>
      <c r="F17" s="71">
        <v>1.1499999999999999</v>
      </c>
      <c r="G17" s="71">
        <v>1.1499999999999999</v>
      </c>
      <c r="H17" s="71">
        <v>1.1499999999999999</v>
      </c>
      <c r="I17" s="71">
        <v>1.1000000000000001</v>
      </c>
      <c r="J17" s="70">
        <v>1.1000000000000001</v>
      </c>
      <c r="K17" s="71">
        <v>1.2</v>
      </c>
      <c r="L17" s="70">
        <v>1.2</v>
      </c>
      <c r="M17" s="71">
        <v>1.1499999999999999</v>
      </c>
      <c r="N17" s="71">
        <v>1.19</v>
      </c>
      <c r="O17" s="71">
        <v>1.19</v>
      </c>
      <c r="P17" s="71">
        <v>1.4</v>
      </c>
      <c r="Q17" s="71">
        <v>1.4</v>
      </c>
      <c r="R17" s="71">
        <v>1.1499999999999999</v>
      </c>
      <c r="S17" s="77">
        <v>1.21</v>
      </c>
      <c r="T17" s="71">
        <v>1.1299999999999999</v>
      </c>
      <c r="U17" s="71">
        <v>1.1299999999999999</v>
      </c>
      <c r="V17" s="72">
        <v>1.1299999999999999</v>
      </c>
      <c r="W17" s="71">
        <v>1.1200000000000001</v>
      </c>
      <c r="X17" s="77">
        <v>1.1200000000000001</v>
      </c>
      <c r="Y17" s="77">
        <v>1.1499999999999999</v>
      </c>
      <c r="Z17" s="77">
        <v>1.1499999999999999</v>
      </c>
      <c r="AA17" s="77">
        <v>1.05</v>
      </c>
      <c r="AB17" s="71">
        <v>1.06</v>
      </c>
      <c r="AC17" s="77">
        <v>1.06</v>
      </c>
      <c r="AD17" s="77">
        <v>1.05</v>
      </c>
      <c r="AE17" s="71">
        <v>1.06</v>
      </c>
      <c r="AF17" s="77">
        <v>1.06</v>
      </c>
      <c r="AG17" s="80">
        <v>1.073</v>
      </c>
      <c r="AH17" s="80">
        <v>1.0760000000000001</v>
      </c>
      <c r="AI17" s="81">
        <v>1.0660000000000001</v>
      </c>
      <c r="AJ17" s="81">
        <v>1.077</v>
      </c>
      <c r="AK17" s="71">
        <v>1.1499999999999999</v>
      </c>
      <c r="AL17" s="71">
        <v>1.19</v>
      </c>
      <c r="AM17" s="71">
        <v>1.08</v>
      </c>
      <c r="AN17" s="78">
        <v>1.03</v>
      </c>
      <c r="AO17" s="71">
        <v>1.0900000000000001</v>
      </c>
      <c r="AP17" s="71">
        <v>1.08</v>
      </c>
      <c r="AQ17" s="79">
        <v>1.1599999999999999</v>
      </c>
      <c r="AR17" s="75">
        <v>1.1299999999999999</v>
      </c>
      <c r="AS17" s="72">
        <v>1.17</v>
      </c>
      <c r="AT17" s="72">
        <v>1.17</v>
      </c>
      <c r="AU17" s="71">
        <v>1.08</v>
      </c>
      <c r="AV17" s="71">
        <v>1.0900000000000001</v>
      </c>
      <c r="AW17" s="71">
        <v>1.08</v>
      </c>
      <c r="AX17" s="79">
        <v>1.1599999999999999</v>
      </c>
      <c r="AY17" s="75">
        <v>1.1299999999999999</v>
      </c>
      <c r="AZ17" s="72">
        <v>1.17</v>
      </c>
      <c r="BA17" s="72">
        <v>1.17</v>
      </c>
      <c r="BB17" s="74"/>
      <c r="BC17" s="69"/>
    </row>
    <row r="18" spans="1:55" x14ac:dyDescent="0.2">
      <c r="A18" s="71">
        <f>100000000/1000000000</f>
        <v>0.1</v>
      </c>
      <c r="B18" s="71">
        <v>1.1000000000000001</v>
      </c>
      <c r="C18" s="70">
        <v>1.1000000000000001</v>
      </c>
      <c r="D18" s="70">
        <v>1.18</v>
      </c>
      <c r="E18" s="71">
        <v>1.1000000000000001</v>
      </c>
      <c r="F18" s="71">
        <v>1.1000000000000001</v>
      </c>
      <c r="G18" s="71" t="s">
        <v>31</v>
      </c>
      <c r="H18" s="71" t="s">
        <v>31</v>
      </c>
      <c r="I18" s="71">
        <v>1.1000000000000001</v>
      </c>
      <c r="J18" s="70">
        <v>1.1000000000000001</v>
      </c>
      <c r="K18" s="71">
        <v>1.2</v>
      </c>
      <c r="L18" s="70">
        <v>1.2</v>
      </c>
      <c r="M18" s="71">
        <v>1.1499999999999999</v>
      </c>
      <c r="N18" s="71">
        <v>1.1499999999999999</v>
      </c>
      <c r="O18" s="71">
        <v>1.1499999999999999</v>
      </c>
      <c r="P18" s="71" t="s">
        <v>31</v>
      </c>
      <c r="Q18" s="71" t="s">
        <v>31</v>
      </c>
      <c r="R18" s="71">
        <v>1.1499999999999999</v>
      </c>
      <c r="S18" s="77">
        <v>1.19</v>
      </c>
      <c r="T18" s="71">
        <v>1.1299999999999999</v>
      </c>
      <c r="U18" s="71">
        <v>1.1299999999999999</v>
      </c>
      <c r="V18" s="72">
        <v>1.1299999999999999</v>
      </c>
      <c r="W18" s="71">
        <v>1.1200000000000001</v>
      </c>
      <c r="X18" s="77">
        <v>1.1200000000000001</v>
      </c>
      <c r="Y18" s="77">
        <v>1.1499999999999999</v>
      </c>
      <c r="Z18" s="77">
        <v>1.1499999999999999</v>
      </c>
      <c r="AA18" s="77">
        <v>1.05</v>
      </c>
      <c r="AB18" s="71">
        <v>1.06</v>
      </c>
      <c r="AC18" s="77">
        <v>1.04</v>
      </c>
      <c r="AD18" s="77">
        <v>1.05</v>
      </c>
      <c r="AE18" s="71">
        <v>1.06</v>
      </c>
      <c r="AF18" s="77">
        <v>1.04</v>
      </c>
      <c r="AG18" s="71" t="s">
        <v>31</v>
      </c>
      <c r="AH18" s="71" t="s">
        <v>31</v>
      </c>
      <c r="AI18" s="73" t="s">
        <v>31</v>
      </c>
      <c r="AJ18" s="73" t="s">
        <v>31</v>
      </c>
      <c r="AK18" s="71">
        <v>1.1000000000000001</v>
      </c>
      <c r="AL18" s="71">
        <v>1.1499999999999999</v>
      </c>
      <c r="AM18" s="71">
        <v>1.05</v>
      </c>
      <c r="AN18" s="82">
        <v>1.04</v>
      </c>
      <c r="AO18" s="71">
        <v>1.0900000000000001</v>
      </c>
      <c r="AP18" s="71">
        <v>1.08</v>
      </c>
      <c r="AQ18" s="79">
        <v>1.1599999999999999</v>
      </c>
      <c r="AR18" s="75">
        <v>1.1299999999999999</v>
      </c>
      <c r="AS18" s="72" t="s">
        <v>31</v>
      </c>
      <c r="AT18" s="72" t="s">
        <v>31</v>
      </c>
      <c r="AU18" s="71">
        <v>1.05</v>
      </c>
      <c r="AV18" s="71">
        <v>1.0900000000000001</v>
      </c>
      <c r="AW18" s="71">
        <v>1.08</v>
      </c>
      <c r="AX18" s="79">
        <v>1.1599999999999999</v>
      </c>
      <c r="AY18" s="75">
        <v>1.1299999999999999</v>
      </c>
      <c r="AZ18" s="72" t="s">
        <v>31</v>
      </c>
      <c r="BA18" s="72" t="s">
        <v>31</v>
      </c>
      <c r="BB18" s="74"/>
      <c r="BC18" s="69"/>
    </row>
    <row r="19" spans="1:55" x14ac:dyDescent="0.2">
      <c r="A19" s="71">
        <v>2</v>
      </c>
      <c r="B19" s="71">
        <v>1.18</v>
      </c>
      <c r="C19" s="71">
        <v>1.3</v>
      </c>
      <c r="D19" s="71">
        <v>1.18</v>
      </c>
      <c r="E19" s="71">
        <v>1.1499999999999999</v>
      </c>
      <c r="F19" s="71">
        <v>1.1499999999999999</v>
      </c>
      <c r="G19" s="71" t="s">
        <v>31</v>
      </c>
      <c r="H19" s="71" t="s">
        <v>31</v>
      </c>
      <c r="I19" s="71">
        <v>1.18</v>
      </c>
      <c r="J19" s="71">
        <v>1.18</v>
      </c>
      <c r="K19" s="71">
        <v>1.2</v>
      </c>
      <c r="L19" s="70">
        <v>1.2</v>
      </c>
      <c r="M19" s="71">
        <v>1.1499999999999999</v>
      </c>
      <c r="N19" s="71">
        <v>1.1499999999999999</v>
      </c>
      <c r="O19" s="71">
        <v>1.2</v>
      </c>
      <c r="P19" s="71" t="s">
        <v>31</v>
      </c>
      <c r="Q19" s="71" t="s">
        <v>31</v>
      </c>
      <c r="R19" s="71">
        <v>1.17</v>
      </c>
      <c r="S19" s="77">
        <v>1.19</v>
      </c>
      <c r="T19" s="77">
        <v>1.19</v>
      </c>
      <c r="U19" s="77">
        <v>1.19</v>
      </c>
      <c r="V19" s="77">
        <v>1.19</v>
      </c>
      <c r="W19" s="71">
        <v>1.1200000000000001</v>
      </c>
      <c r="X19" s="77">
        <v>1.1200000000000001</v>
      </c>
      <c r="Y19" s="77">
        <v>1.1499999999999999</v>
      </c>
      <c r="Z19" s="77">
        <v>1.1499999999999999</v>
      </c>
      <c r="AA19" s="77">
        <v>1.1599999999999999</v>
      </c>
      <c r="AB19" s="77">
        <v>1.07</v>
      </c>
      <c r="AC19" s="77">
        <v>1.1299999999999999</v>
      </c>
      <c r="AD19" s="77">
        <v>1.1599999999999999</v>
      </c>
      <c r="AE19" s="77">
        <v>1.07</v>
      </c>
      <c r="AF19" s="77">
        <v>1.1299999999999999</v>
      </c>
      <c r="AG19" s="71" t="s">
        <v>31</v>
      </c>
      <c r="AH19" s="71" t="s">
        <v>31</v>
      </c>
      <c r="AI19" s="73" t="s">
        <v>31</v>
      </c>
      <c r="AJ19" s="73" t="s">
        <v>31</v>
      </c>
      <c r="AK19" s="71">
        <v>1.1499999999999999</v>
      </c>
      <c r="AL19" s="71">
        <v>1.1499999999999999</v>
      </c>
      <c r="AM19" s="71">
        <v>1.1000000000000001</v>
      </c>
      <c r="AN19" s="82">
        <v>1.04</v>
      </c>
      <c r="AO19" s="77">
        <v>1.1399999999999999</v>
      </c>
      <c r="AP19" s="77">
        <v>1.1599999999999999</v>
      </c>
      <c r="AQ19" s="79">
        <v>1.1599999999999999</v>
      </c>
      <c r="AR19" s="75">
        <v>1.1299999999999999</v>
      </c>
      <c r="AS19" s="72" t="s">
        <v>31</v>
      </c>
      <c r="AT19" s="72" t="s">
        <v>31</v>
      </c>
      <c r="AU19" s="71">
        <v>1.1000000000000001</v>
      </c>
      <c r="AV19" s="77">
        <v>1.1399999999999999</v>
      </c>
      <c r="AW19" s="77">
        <v>1.1599999999999999</v>
      </c>
      <c r="AX19" s="79">
        <v>1.1599999999999999</v>
      </c>
      <c r="AY19" s="75">
        <v>1.1299999999999999</v>
      </c>
      <c r="AZ19" s="72" t="s">
        <v>31</v>
      </c>
      <c r="BA19" s="72" t="s">
        <v>31</v>
      </c>
      <c r="BB19" s="74"/>
      <c r="BC19" s="69"/>
    </row>
    <row r="20" spans="1:55" x14ac:dyDescent="0.2">
      <c r="A20" s="71">
        <v>2.4</v>
      </c>
      <c r="B20" s="71">
        <v>1.18</v>
      </c>
      <c r="C20" s="71">
        <v>1.3</v>
      </c>
      <c r="D20" s="71">
        <v>1.18</v>
      </c>
      <c r="E20" s="71">
        <v>1.1499999999999999</v>
      </c>
      <c r="F20" s="71">
        <v>1.1499999999999999</v>
      </c>
      <c r="G20" s="71" t="s">
        <v>31</v>
      </c>
      <c r="H20" s="71" t="s">
        <v>31</v>
      </c>
      <c r="I20" s="71">
        <v>1.18</v>
      </c>
      <c r="J20" s="71">
        <v>1.18</v>
      </c>
      <c r="K20" s="71">
        <v>1.2</v>
      </c>
      <c r="L20" s="70">
        <v>1.2</v>
      </c>
      <c r="M20" s="71">
        <v>1.1499999999999999</v>
      </c>
      <c r="N20" s="71">
        <v>1.1499999999999999</v>
      </c>
      <c r="O20" s="71">
        <v>1.2</v>
      </c>
      <c r="P20" s="71" t="s">
        <v>31</v>
      </c>
      <c r="Q20" s="71" t="s">
        <v>31</v>
      </c>
      <c r="R20" s="71">
        <v>1.17</v>
      </c>
      <c r="S20" s="77">
        <v>1.19</v>
      </c>
      <c r="T20" s="77">
        <v>1.19</v>
      </c>
      <c r="U20" s="77">
        <v>1.19</v>
      </c>
      <c r="V20" s="77">
        <v>1.19</v>
      </c>
      <c r="W20" s="71">
        <v>1.1200000000000001</v>
      </c>
      <c r="X20" s="77">
        <v>1.1200000000000001</v>
      </c>
      <c r="Y20" s="77">
        <v>1.1499999999999999</v>
      </c>
      <c r="Z20" s="77">
        <v>1.1499999999999999</v>
      </c>
      <c r="AA20" s="77">
        <v>1.1599999999999999</v>
      </c>
      <c r="AB20" s="77">
        <v>1.07</v>
      </c>
      <c r="AC20" s="77">
        <v>1.1299999999999999</v>
      </c>
      <c r="AD20" s="77">
        <v>1.1599999999999999</v>
      </c>
      <c r="AE20" s="77">
        <v>1.07</v>
      </c>
      <c r="AF20" s="77">
        <v>1.1299999999999999</v>
      </c>
      <c r="AG20" s="71" t="s">
        <v>31</v>
      </c>
      <c r="AH20" s="71" t="s">
        <v>31</v>
      </c>
      <c r="AI20" s="73" t="s">
        <v>31</v>
      </c>
      <c r="AJ20" s="73" t="s">
        <v>31</v>
      </c>
      <c r="AK20" s="71">
        <v>1.1499999999999999</v>
      </c>
      <c r="AL20" s="71">
        <v>1.1499999999999999</v>
      </c>
      <c r="AM20" s="71">
        <v>1.1000000000000001</v>
      </c>
      <c r="AN20" s="82">
        <v>1.0900000000000001</v>
      </c>
      <c r="AO20" s="77">
        <v>1.1399999999999999</v>
      </c>
      <c r="AP20" s="77">
        <v>1.1599999999999999</v>
      </c>
      <c r="AQ20" s="79">
        <v>1.1599999999999999</v>
      </c>
      <c r="AR20" s="75">
        <v>1.1299999999999999</v>
      </c>
      <c r="AS20" s="72" t="s">
        <v>31</v>
      </c>
      <c r="AT20" s="72" t="s">
        <v>31</v>
      </c>
      <c r="AU20" s="71">
        <v>1.1000000000000001</v>
      </c>
      <c r="AV20" s="77">
        <v>1.1399999999999999</v>
      </c>
      <c r="AW20" s="77">
        <v>1.1599999999999999</v>
      </c>
      <c r="AX20" s="79">
        <v>1.1599999999999999</v>
      </c>
      <c r="AY20" s="75">
        <v>1.1299999999999999</v>
      </c>
      <c r="AZ20" s="72" t="s">
        <v>31</v>
      </c>
      <c r="BA20" s="72" t="s">
        <v>31</v>
      </c>
      <c r="BB20" s="74"/>
      <c r="BC20" s="69"/>
    </row>
    <row r="21" spans="1:55" x14ac:dyDescent="0.2">
      <c r="A21" s="71">
        <v>4</v>
      </c>
      <c r="B21" s="71">
        <v>1.18</v>
      </c>
      <c r="C21" s="71">
        <v>1.3</v>
      </c>
      <c r="D21" s="71" t="s">
        <v>31</v>
      </c>
      <c r="E21" s="71">
        <v>1.1499999999999999</v>
      </c>
      <c r="F21" s="71">
        <v>1.1499999999999999</v>
      </c>
      <c r="G21" s="71" t="s">
        <v>31</v>
      </c>
      <c r="H21" s="71" t="s">
        <v>31</v>
      </c>
      <c r="I21" s="71">
        <v>1.18</v>
      </c>
      <c r="J21" s="71">
        <v>1.18</v>
      </c>
      <c r="K21" s="71">
        <v>1.2</v>
      </c>
      <c r="L21" s="70">
        <v>1.2</v>
      </c>
      <c r="M21" s="71">
        <v>1.2</v>
      </c>
      <c r="N21" s="71">
        <v>1.19</v>
      </c>
      <c r="O21" s="71">
        <v>1.2</v>
      </c>
      <c r="P21" s="71" t="s">
        <v>31</v>
      </c>
      <c r="Q21" s="71" t="s">
        <v>31</v>
      </c>
      <c r="R21" s="71">
        <v>1.17</v>
      </c>
      <c r="S21" s="77">
        <v>1.19</v>
      </c>
      <c r="T21" s="77">
        <v>1.19</v>
      </c>
      <c r="U21" s="77">
        <v>1.19</v>
      </c>
      <c r="V21" s="77">
        <v>1.19</v>
      </c>
      <c r="W21" s="71">
        <v>1.1200000000000001</v>
      </c>
      <c r="X21" s="77">
        <v>1.1200000000000001</v>
      </c>
      <c r="Y21" s="77">
        <v>1.1499999999999999</v>
      </c>
      <c r="Z21" s="77">
        <v>1.1499999999999999</v>
      </c>
      <c r="AA21" s="77">
        <v>1.1599999999999999</v>
      </c>
      <c r="AB21" s="77">
        <v>1.07</v>
      </c>
      <c r="AC21" s="77">
        <v>1.1299999999999999</v>
      </c>
      <c r="AD21" s="77">
        <v>1.1599999999999999</v>
      </c>
      <c r="AE21" s="77">
        <v>1.07</v>
      </c>
      <c r="AF21" s="77">
        <v>1.1299999999999999</v>
      </c>
      <c r="AG21" s="71" t="s">
        <v>31</v>
      </c>
      <c r="AH21" s="71" t="s">
        <v>31</v>
      </c>
      <c r="AI21" s="73" t="s">
        <v>31</v>
      </c>
      <c r="AJ21" s="73" t="s">
        <v>31</v>
      </c>
      <c r="AK21" s="71">
        <v>1.1499999999999999</v>
      </c>
      <c r="AL21" s="71">
        <v>1.19</v>
      </c>
      <c r="AM21" s="71">
        <v>1.1000000000000001</v>
      </c>
      <c r="AN21" s="82">
        <v>1.0900000000000001</v>
      </c>
      <c r="AO21" s="77">
        <v>1.1399999999999999</v>
      </c>
      <c r="AP21" s="77">
        <v>1.1599999999999999</v>
      </c>
      <c r="AQ21" s="79">
        <v>1.1599999999999999</v>
      </c>
      <c r="AR21" s="75">
        <v>1.1299999999999999</v>
      </c>
      <c r="AS21" s="72" t="s">
        <v>31</v>
      </c>
      <c r="AT21" s="72" t="s">
        <v>31</v>
      </c>
      <c r="AU21" s="71">
        <v>1.1000000000000001</v>
      </c>
      <c r="AV21" s="77">
        <v>1.1399999999999999</v>
      </c>
      <c r="AW21" s="77">
        <v>1.1599999999999999</v>
      </c>
      <c r="AX21" s="79">
        <v>1.1599999999999999</v>
      </c>
      <c r="AY21" s="75">
        <v>1.1299999999999999</v>
      </c>
      <c r="AZ21" s="72" t="s">
        <v>31</v>
      </c>
      <c r="BA21" s="72" t="s">
        <v>31</v>
      </c>
      <c r="BB21" s="74"/>
      <c r="BC21" s="69"/>
    </row>
    <row r="22" spans="1:55" x14ac:dyDescent="0.2">
      <c r="A22" s="71">
        <v>4.2</v>
      </c>
      <c r="B22" s="71">
        <v>1.18</v>
      </c>
      <c r="C22" s="71">
        <v>1.3</v>
      </c>
      <c r="D22" s="71" t="s">
        <v>31</v>
      </c>
      <c r="E22" s="71">
        <v>1.1499999999999999</v>
      </c>
      <c r="F22" s="71">
        <v>1.1499999999999999</v>
      </c>
      <c r="G22" s="71" t="s">
        <v>31</v>
      </c>
      <c r="H22" s="71" t="s">
        <v>31</v>
      </c>
      <c r="I22" s="71">
        <v>1.18</v>
      </c>
      <c r="J22" s="71">
        <v>1.18</v>
      </c>
      <c r="K22" s="71">
        <v>1.2</v>
      </c>
      <c r="L22" s="70">
        <v>1.2</v>
      </c>
      <c r="M22" s="71">
        <v>1.2</v>
      </c>
      <c r="N22" s="71">
        <v>1.19</v>
      </c>
      <c r="O22" s="71">
        <v>1.2</v>
      </c>
      <c r="P22" s="71" t="s">
        <v>31</v>
      </c>
      <c r="Q22" s="71" t="s">
        <v>31</v>
      </c>
      <c r="R22" s="71">
        <v>1.17</v>
      </c>
      <c r="S22" s="77">
        <v>1.19</v>
      </c>
      <c r="T22" s="77">
        <v>1.19</v>
      </c>
      <c r="U22" s="77">
        <v>1.19</v>
      </c>
      <c r="V22" s="77">
        <v>1.19</v>
      </c>
      <c r="W22" s="71">
        <v>1.1200000000000001</v>
      </c>
      <c r="X22" s="77">
        <v>1.1200000000000001</v>
      </c>
      <c r="Y22" s="77">
        <v>1.1499999999999999</v>
      </c>
      <c r="Z22" s="77">
        <v>1.1499999999999999</v>
      </c>
      <c r="AA22" s="77">
        <v>1.1599999999999999</v>
      </c>
      <c r="AB22" s="77">
        <v>1.07</v>
      </c>
      <c r="AC22" s="77">
        <v>1.1299999999999999</v>
      </c>
      <c r="AD22" s="77">
        <v>1.1599999999999999</v>
      </c>
      <c r="AE22" s="77">
        <v>1.07</v>
      </c>
      <c r="AF22" s="77">
        <v>1.1299999999999999</v>
      </c>
      <c r="AG22" s="71" t="s">
        <v>31</v>
      </c>
      <c r="AH22" s="71" t="s">
        <v>31</v>
      </c>
      <c r="AI22" s="73" t="s">
        <v>31</v>
      </c>
      <c r="AJ22" s="73" t="s">
        <v>31</v>
      </c>
      <c r="AK22" s="71">
        <v>1.1499999999999999</v>
      </c>
      <c r="AL22" s="71">
        <v>1.19</v>
      </c>
      <c r="AM22" s="71">
        <v>1.1000000000000001</v>
      </c>
      <c r="AN22" s="82">
        <v>1.0900000000000001</v>
      </c>
      <c r="AO22" s="77">
        <v>1.1399999999999999</v>
      </c>
      <c r="AP22" s="77">
        <v>1.1599999999999999</v>
      </c>
      <c r="AQ22" s="79">
        <v>1.1599999999999999</v>
      </c>
      <c r="AR22" s="75">
        <v>1.1299999999999999</v>
      </c>
      <c r="AS22" s="72" t="s">
        <v>31</v>
      </c>
      <c r="AT22" s="72" t="s">
        <v>31</v>
      </c>
      <c r="AU22" s="71">
        <v>1.1000000000000001</v>
      </c>
      <c r="AV22" s="77">
        <v>1.1399999999999999</v>
      </c>
      <c r="AW22" s="77">
        <v>1.1599999999999999</v>
      </c>
      <c r="AX22" s="79">
        <v>1.1599999999999999</v>
      </c>
      <c r="AY22" s="75">
        <v>1.1299999999999999</v>
      </c>
      <c r="AZ22" s="72" t="s">
        <v>31</v>
      </c>
      <c r="BA22" s="72" t="s">
        <v>31</v>
      </c>
      <c r="BB22" s="74"/>
      <c r="BC22" s="69"/>
    </row>
    <row r="23" spans="1:55" x14ac:dyDescent="0.2">
      <c r="A23" s="71">
        <v>6</v>
      </c>
      <c r="B23" s="71">
        <v>1.18</v>
      </c>
      <c r="C23" s="76" t="s">
        <v>31</v>
      </c>
      <c r="D23" s="71" t="s">
        <v>31</v>
      </c>
      <c r="E23" s="71">
        <v>1.1499999999999999</v>
      </c>
      <c r="F23" s="71">
        <v>1.1499999999999999</v>
      </c>
      <c r="G23" s="71" t="s">
        <v>31</v>
      </c>
      <c r="H23" s="71" t="s">
        <v>31</v>
      </c>
      <c r="I23" s="71">
        <v>1.18</v>
      </c>
      <c r="J23" s="76" t="s">
        <v>31</v>
      </c>
      <c r="K23" s="71">
        <v>1.2</v>
      </c>
      <c r="L23" s="83" t="s">
        <v>31</v>
      </c>
      <c r="M23" s="71">
        <v>1.2</v>
      </c>
      <c r="N23" s="71">
        <v>1.19</v>
      </c>
      <c r="O23" s="71">
        <v>1.2</v>
      </c>
      <c r="P23" s="71" t="s">
        <v>31</v>
      </c>
      <c r="Q23" s="71" t="s">
        <v>31</v>
      </c>
      <c r="R23" s="71">
        <v>1.2</v>
      </c>
      <c r="S23" s="77">
        <v>1.19</v>
      </c>
      <c r="T23" s="77">
        <v>1.19</v>
      </c>
      <c r="U23" s="77">
        <v>1.19</v>
      </c>
      <c r="V23" s="77">
        <v>1.19</v>
      </c>
      <c r="W23" s="71">
        <v>1.1200000000000001</v>
      </c>
      <c r="X23" s="77">
        <v>1.1200000000000001</v>
      </c>
      <c r="Y23" s="77">
        <v>1.1499999999999999</v>
      </c>
      <c r="Z23" s="77">
        <v>1.1499999999999999</v>
      </c>
      <c r="AA23" s="77">
        <v>1.1599999999999999</v>
      </c>
      <c r="AB23" s="77">
        <v>1.07</v>
      </c>
      <c r="AC23" s="77">
        <v>1.1299999999999999</v>
      </c>
      <c r="AD23" s="77">
        <v>1.1599999999999999</v>
      </c>
      <c r="AE23" s="77">
        <v>1.07</v>
      </c>
      <c r="AF23" s="77">
        <v>1.1299999999999999</v>
      </c>
      <c r="AG23" s="71" t="s">
        <v>31</v>
      </c>
      <c r="AH23" s="71" t="s">
        <v>31</v>
      </c>
      <c r="AI23" s="73" t="s">
        <v>31</v>
      </c>
      <c r="AJ23" s="73" t="s">
        <v>31</v>
      </c>
      <c r="AK23" s="71">
        <v>1.1499999999999999</v>
      </c>
      <c r="AL23" s="71">
        <v>1.19</v>
      </c>
      <c r="AM23" s="71">
        <v>1.1000000000000001</v>
      </c>
      <c r="AN23" s="82">
        <v>1.0900000000000001</v>
      </c>
      <c r="AO23" s="77">
        <v>1.1399999999999999</v>
      </c>
      <c r="AP23" s="77">
        <v>1.1599999999999999</v>
      </c>
      <c r="AQ23" s="79">
        <v>1.1599999999999999</v>
      </c>
      <c r="AR23" s="75">
        <v>1.1299999999999999</v>
      </c>
      <c r="AS23" s="72" t="s">
        <v>31</v>
      </c>
      <c r="AT23" s="72" t="s">
        <v>31</v>
      </c>
      <c r="AU23" s="71">
        <v>1.1000000000000001</v>
      </c>
      <c r="AV23" s="77">
        <v>1.1399999999999999</v>
      </c>
      <c r="AW23" s="77">
        <v>1.1599999999999999</v>
      </c>
      <c r="AX23" s="79">
        <v>1.1599999999999999</v>
      </c>
      <c r="AY23" s="75">
        <v>1.1299999999999999</v>
      </c>
      <c r="AZ23" s="72" t="s">
        <v>31</v>
      </c>
      <c r="BA23" s="72" t="s">
        <v>31</v>
      </c>
      <c r="BB23" s="74"/>
      <c r="BC23" s="69"/>
    </row>
    <row r="24" spans="1:55" x14ac:dyDescent="0.2">
      <c r="A24" s="71">
        <v>8</v>
      </c>
      <c r="B24" s="71">
        <v>1.18</v>
      </c>
      <c r="C24" s="71" t="s">
        <v>31</v>
      </c>
      <c r="D24" s="71" t="s">
        <v>31</v>
      </c>
      <c r="E24" s="71">
        <v>1.1499999999999999</v>
      </c>
      <c r="F24" s="71">
        <v>1.1499999999999999</v>
      </c>
      <c r="G24" s="71" t="s">
        <v>31</v>
      </c>
      <c r="H24" s="71" t="s">
        <v>31</v>
      </c>
      <c r="I24" s="71">
        <v>1.18</v>
      </c>
      <c r="J24" s="71" t="s">
        <v>31</v>
      </c>
      <c r="K24" s="71">
        <v>1.25</v>
      </c>
      <c r="L24" s="71" t="s">
        <v>31</v>
      </c>
      <c r="M24" s="71">
        <v>1.2</v>
      </c>
      <c r="N24" s="71">
        <v>1.19</v>
      </c>
      <c r="O24" s="71">
        <v>1.2</v>
      </c>
      <c r="P24" s="71" t="s">
        <v>31</v>
      </c>
      <c r="Q24" s="71" t="s">
        <v>31</v>
      </c>
      <c r="R24" s="71">
        <v>1.2</v>
      </c>
      <c r="S24" s="77">
        <v>1.21</v>
      </c>
      <c r="T24" s="77">
        <v>1.19</v>
      </c>
      <c r="U24" s="76" t="s">
        <v>31</v>
      </c>
      <c r="V24" s="71" t="s">
        <v>31</v>
      </c>
      <c r="W24" s="77">
        <v>1.17</v>
      </c>
      <c r="X24" s="71" t="s">
        <v>31</v>
      </c>
      <c r="Y24" s="77">
        <v>1.25</v>
      </c>
      <c r="Z24" s="71" t="s">
        <v>31</v>
      </c>
      <c r="AA24" s="77">
        <v>1.1599999999999999</v>
      </c>
      <c r="AB24" s="71" t="s">
        <v>31</v>
      </c>
      <c r="AC24" s="77">
        <v>1.1299999999999999</v>
      </c>
      <c r="AD24" s="77">
        <v>1.1599999999999999</v>
      </c>
      <c r="AE24" s="71" t="s">
        <v>31</v>
      </c>
      <c r="AF24" s="77">
        <v>1.1299999999999999</v>
      </c>
      <c r="AG24" s="71" t="s">
        <v>31</v>
      </c>
      <c r="AH24" s="71" t="s">
        <v>31</v>
      </c>
      <c r="AI24" s="73" t="s">
        <v>31</v>
      </c>
      <c r="AJ24" s="73" t="s">
        <v>31</v>
      </c>
      <c r="AK24" s="71">
        <v>1.1499999999999999</v>
      </c>
      <c r="AL24" s="71">
        <v>1.19</v>
      </c>
      <c r="AM24" s="71">
        <v>1.1000000000000001</v>
      </c>
      <c r="AN24" s="82">
        <v>1.0900000000000001</v>
      </c>
      <c r="AO24" s="77">
        <v>1.1399999999999999</v>
      </c>
      <c r="AP24" s="71" t="s">
        <v>31</v>
      </c>
      <c r="AQ24" s="79">
        <v>1.22</v>
      </c>
      <c r="AR24" s="71" t="s">
        <v>31</v>
      </c>
      <c r="AS24" s="72" t="s">
        <v>31</v>
      </c>
      <c r="AT24" s="72" t="s">
        <v>31</v>
      </c>
      <c r="AU24" s="71">
        <v>1.1000000000000001</v>
      </c>
      <c r="AV24" s="77">
        <v>1.1399999999999999</v>
      </c>
      <c r="AW24" s="71" t="s">
        <v>31</v>
      </c>
      <c r="AX24" s="79">
        <v>1.22</v>
      </c>
      <c r="AY24" s="71" t="s">
        <v>31</v>
      </c>
      <c r="AZ24" s="72" t="s">
        <v>31</v>
      </c>
      <c r="BA24" s="72" t="s">
        <v>31</v>
      </c>
      <c r="BB24" s="74"/>
      <c r="BC24" s="69"/>
    </row>
    <row r="25" spans="1:55" x14ac:dyDescent="0.2">
      <c r="A25" s="71">
        <v>10</v>
      </c>
      <c r="B25" s="71">
        <v>1.18</v>
      </c>
      <c r="C25" s="71" t="s">
        <v>31</v>
      </c>
      <c r="D25" s="71" t="s">
        <v>31</v>
      </c>
      <c r="E25" s="71">
        <v>1.1499999999999999</v>
      </c>
      <c r="F25" s="71">
        <v>1.1499999999999999</v>
      </c>
      <c r="G25" s="71" t="s">
        <v>31</v>
      </c>
      <c r="H25" s="71" t="s">
        <v>31</v>
      </c>
      <c r="I25" s="71">
        <v>1.18</v>
      </c>
      <c r="J25" s="71" t="s">
        <v>31</v>
      </c>
      <c r="K25" s="76">
        <v>1.25</v>
      </c>
      <c r="L25" s="71" t="s">
        <v>31</v>
      </c>
      <c r="M25" s="71">
        <v>1.3</v>
      </c>
      <c r="N25" s="71">
        <v>1.19</v>
      </c>
      <c r="O25" s="71">
        <v>1.2</v>
      </c>
      <c r="P25" s="71" t="s">
        <v>31</v>
      </c>
      <c r="Q25" s="71" t="s">
        <v>31</v>
      </c>
      <c r="R25" s="71">
        <v>1.2</v>
      </c>
      <c r="S25" s="77">
        <v>1.21</v>
      </c>
      <c r="T25" s="77">
        <v>1.19</v>
      </c>
      <c r="U25" s="76" t="s">
        <v>31</v>
      </c>
      <c r="V25" s="71" t="s">
        <v>31</v>
      </c>
      <c r="W25" s="77">
        <v>1.17</v>
      </c>
      <c r="X25" s="71" t="s">
        <v>31</v>
      </c>
      <c r="Y25" s="77">
        <v>1.25</v>
      </c>
      <c r="Z25" s="71" t="s">
        <v>31</v>
      </c>
      <c r="AA25" s="77">
        <v>1.1599999999999999</v>
      </c>
      <c r="AB25" s="71" t="s">
        <v>31</v>
      </c>
      <c r="AC25" s="77">
        <v>1.1299999999999999</v>
      </c>
      <c r="AD25" s="77">
        <v>1.1599999999999999</v>
      </c>
      <c r="AE25" s="71" t="s">
        <v>31</v>
      </c>
      <c r="AF25" s="77">
        <v>1.1299999999999999</v>
      </c>
      <c r="AG25" s="71" t="s">
        <v>31</v>
      </c>
      <c r="AH25" s="71" t="s">
        <v>31</v>
      </c>
      <c r="AI25" s="73" t="s">
        <v>31</v>
      </c>
      <c r="AJ25" s="73" t="s">
        <v>31</v>
      </c>
      <c r="AK25" s="71">
        <v>1.1499999999999999</v>
      </c>
      <c r="AL25" s="71">
        <v>1.19</v>
      </c>
      <c r="AM25" s="71">
        <v>1.1000000000000001</v>
      </c>
      <c r="AN25" s="82">
        <v>1.0900000000000001</v>
      </c>
      <c r="AO25" s="77">
        <v>1.1399999999999999</v>
      </c>
      <c r="AP25" s="71" t="s">
        <v>31</v>
      </c>
      <c r="AQ25" s="79">
        <v>1.22</v>
      </c>
      <c r="AR25" s="71" t="s">
        <v>31</v>
      </c>
      <c r="AS25" s="72" t="s">
        <v>31</v>
      </c>
      <c r="AT25" s="72" t="s">
        <v>31</v>
      </c>
      <c r="AU25" s="71">
        <v>1.1000000000000001</v>
      </c>
      <c r="AV25" s="77">
        <v>1.1399999999999999</v>
      </c>
      <c r="AW25" s="71" t="s">
        <v>31</v>
      </c>
      <c r="AX25" s="79">
        <v>1.22</v>
      </c>
      <c r="AY25" s="71" t="s">
        <v>31</v>
      </c>
      <c r="AZ25" s="72" t="s">
        <v>31</v>
      </c>
      <c r="BA25" s="72" t="s">
        <v>31</v>
      </c>
      <c r="BB25" s="74"/>
      <c r="BC25" s="69"/>
    </row>
    <row r="26" spans="1:55" x14ac:dyDescent="0.2">
      <c r="A26" s="71">
        <v>11</v>
      </c>
      <c r="B26" s="84">
        <v>1.18</v>
      </c>
      <c r="C26" s="71" t="s">
        <v>31</v>
      </c>
      <c r="D26" s="71" t="s">
        <v>31</v>
      </c>
      <c r="E26" s="71">
        <v>1.1499999999999999</v>
      </c>
      <c r="F26" s="71">
        <v>1.1499999999999999</v>
      </c>
      <c r="G26" s="71" t="s">
        <v>31</v>
      </c>
      <c r="H26" s="71" t="s">
        <v>31</v>
      </c>
      <c r="I26" s="76">
        <v>1.18</v>
      </c>
      <c r="J26" s="71" t="s">
        <v>31</v>
      </c>
      <c r="K26" s="76">
        <v>1.25</v>
      </c>
      <c r="L26" s="71" t="s">
        <v>31</v>
      </c>
      <c r="M26" s="71">
        <v>1.3</v>
      </c>
      <c r="N26" s="71">
        <v>1.19</v>
      </c>
      <c r="O26" s="71">
        <v>1.2</v>
      </c>
      <c r="P26" s="71" t="s">
        <v>31</v>
      </c>
      <c r="Q26" s="71" t="s">
        <v>31</v>
      </c>
      <c r="R26" s="71">
        <v>1.27</v>
      </c>
      <c r="S26" s="77">
        <v>1.21</v>
      </c>
      <c r="T26" s="77">
        <v>1.19</v>
      </c>
      <c r="U26" s="76" t="s">
        <v>31</v>
      </c>
      <c r="V26" s="71" t="s">
        <v>31</v>
      </c>
      <c r="W26" s="77">
        <v>1.17</v>
      </c>
      <c r="X26" s="71" t="s">
        <v>31</v>
      </c>
      <c r="Y26" s="77">
        <v>1.25</v>
      </c>
      <c r="Z26" s="71" t="s">
        <v>31</v>
      </c>
      <c r="AA26" s="77">
        <v>1.1599999999999999</v>
      </c>
      <c r="AB26" s="71" t="s">
        <v>31</v>
      </c>
      <c r="AC26" s="77">
        <v>1.1299999999999999</v>
      </c>
      <c r="AD26" s="77">
        <v>1.1599999999999999</v>
      </c>
      <c r="AE26" s="71" t="s">
        <v>31</v>
      </c>
      <c r="AF26" s="77">
        <v>1.1299999999999999</v>
      </c>
      <c r="AG26" s="71" t="s">
        <v>31</v>
      </c>
      <c r="AH26" s="71" t="s">
        <v>31</v>
      </c>
      <c r="AI26" s="73" t="s">
        <v>31</v>
      </c>
      <c r="AJ26" s="73" t="s">
        <v>31</v>
      </c>
      <c r="AK26" s="71">
        <v>1.1499999999999999</v>
      </c>
      <c r="AL26" s="71">
        <v>1.19</v>
      </c>
      <c r="AM26" s="71">
        <v>1.1000000000000001</v>
      </c>
      <c r="AN26" s="82">
        <v>1.0900000000000001</v>
      </c>
      <c r="AO26" s="77">
        <v>1.1399999999999999</v>
      </c>
      <c r="AP26" s="71" t="s">
        <v>31</v>
      </c>
      <c r="AQ26" s="79">
        <v>1.22</v>
      </c>
      <c r="AR26" s="71" t="s">
        <v>31</v>
      </c>
      <c r="AS26" s="72" t="s">
        <v>31</v>
      </c>
      <c r="AT26" s="72" t="s">
        <v>31</v>
      </c>
      <c r="AU26" s="71">
        <v>1.1000000000000001</v>
      </c>
      <c r="AV26" s="77">
        <v>1.1399999999999999</v>
      </c>
      <c r="AW26" s="71" t="s">
        <v>31</v>
      </c>
      <c r="AX26" s="79">
        <v>1.22</v>
      </c>
      <c r="AY26" s="71" t="s">
        <v>31</v>
      </c>
      <c r="AZ26" s="72" t="s">
        <v>31</v>
      </c>
      <c r="BA26" s="72" t="s">
        <v>31</v>
      </c>
      <c r="BB26" s="74"/>
      <c r="BC26" s="69"/>
    </row>
    <row r="27" spans="1:55" x14ac:dyDescent="0.2">
      <c r="A27" s="71">
        <v>12</v>
      </c>
      <c r="B27" s="71">
        <v>1.18</v>
      </c>
      <c r="C27" s="71" t="s">
        <v>31</v>
      </c>
      <c r="D27" s="71" t="s">
        <v>31</v>
      </c>
      <c r="E27" s="71">
        <v>1.1499999999999999</v>
      </c>
      <c r="F27" s="71">
        <v>1.1499999999999999</v>
      </c>
      <c r="G27" s="71" t="s">
        <v>31</v>
      </c>
      <c r="H27" s="71" t="s">
        <v>31</v>
      </c>
      <c r="I27" s="71">
        <v>1.18</v>
      </c>
      <c r="J27" s="71" t="s">
        <v>31</v>
      </c>
      <c r="K27" s="76">
        <v>1.25</v>
      </c>
      <c r="L27" s="71" t="s">
        <v>31</v>
      </c>
      <c r="M27" s="71">
        <v>1.3</v>
      </c>
      <c r="N27" s="71">
        <v>1.25</v>
      </c>
      <c r="O27" s="71">
        <v>1.2</v>
      </c>
      <c r="P27" s="71" t="s">
        <v>31</v>
      </c>
      <c r="Q27" s="71" t="s">
        <v>31</v>
      </c>
      <c r="R27" s="71">
        <v>1.27</v>
      </c>
      <c r="S27" s="77">
        <v>1.21</v>
      </c>
      <c r="T27" s="77">
        <v>1.19</v>
      </c>
      <c r="U27" s="76" t="s">
        <v>31</v>
      </c>
      <c r="V27" s="71" t="s">
        <v>31</v>
      </c>
      <c r="W27" s="77">
        <v>1.17</v>
      </c>
      <c r="X27" s="71" t="s">
        <v>31</v>
      </c>
      <c r="Y27" s="77">
        <v>1.25</v>
      </c>
      <c r="Z27" s="71" t="s">
        <v>31</v>
      </c>
      <c r="AA27" s="77">
        <v>1.1599999999999999</v>
      </c>
      <c r="AB27" s="71" t="s">
        <v>31</v>
      </c>
      <c r="AC27" s="77">
        <v>1.1299999999999999</v>
      </c>
      <c r="AD27" s="77">
        <v>1.1599999999999999</v>
      </c>
      <c r="AE27" s="71" t="s">
        <v>31</v>
      </c>
      <c r="AF27" s="77">
        <v>1.1299999999999999</v>
      </c>
      <c r="AG27" s="71" t="s">
        <v>31</v>
      </c>
      <c r="AH27" s="71" t="s">
        <v>31</v>
      </c>
      <c r="AI27" s="73" t="s">
        <v>31</v>
      </c>
      <c r="AJ27" s="73" t="s">
        <v>31</v>
      </c>
      <c r="AK27" s="71">
        <v>1.1499999999999999</v>
      </c>
      <c r="AL27" s="71">
        <v>1.25</v>
      </c>
      <c r="AM27" s="71">
        <v>1.1000000000000001</v>
      </c>
      <c r="AN27" s="82">
        <v>1.0900000000000001</v>
      </c>
      <c r="AO27" s="77">
        <v>1.1399999999999999</v>
      </c>
      <c r="AP27" s="71" t="s">
        <v>31</v>
      </c>
      <c r="AQ27" s="79">
        <v>1.22</v>
      </c>
      <c r="AR27" s="71" t="s">
        <v>31</v>
      </c>
      <c r="AS27" s="72" t="s">
        <v>31</v>
      </c>
      <c r="AT27" s="72" t="s">
        <v>31</v>
      </c>
      <c r="AU27" s="71">
        <v>1.1000000000000001</v>
      </c>
      <c r="AV27" s="77">
        <v>1.1399999999999999</v>
      </c>
      <c r="AW27" s="71" t="s">
        <v>31</v>
      </c>
      <c r="AX27" s="79">
        <v>1.22</v>
      </c>
      <c r="AY27" s="71" t="s">
        <v>31</v>
      </c>
      <c r="AZ27" s="72" t="s">
        <v>31</v>
      </c>
      <c r="BA27" s="72" t="s">
        <v>31</v>
      </c>
      <c r="BB27" s="74"/>
      <c r="BC27" s="69"/>
    </row>
    <row r="28" spans="1:55" x14ac:dyDescent="0.2">
      <c r="A28" s="71">
        <v>12.4</v>
      </c>
      <c r="B28" s="71">
        <v>1.28</v>
      </c>
      <c r="C28" s="71" t="s">
        <v>31</v>
      </c>
      <c r="D28" s="71" t="s">
        <v>31</v>
      </c>
      <c r="E28" s="71">
        <v>1.2</v>
      </c>
      <c r="F28" s="71">
        <v>1.2</v>
      </c>
      <c r="G28" s="71" t="s">
        <v>31</v>
      </c>
      <c r="H28" s="71" t="s">
        <v>31</v>
      </c>
      <c r="I28" s="71">
        <v>1.28</v>
      </c>
      <c r="J28" s="71" t="s">
        <v>31</v>
      </c>
      <c r="K28" s="71">
        <v>1.3</v>
      </c>
      <c r="L28" s="71" t="s">
        <v>31</v>
      </c>
      <c r="M28" s="71">
        <v>1.3</v>
      </c>
      <c r="N28" s="71">
        <v>1.25</v>
      </c>
      <c r="O28" s="71">
        <v>1.29</v>
      </c>
      <c r="P28" s="71" t="s">
        <v>31</v>
      </c>
      <c r="Q28" s="71" t="s">
        <v>31</v>
      </c>
      <c r="R28" s="71">
        <v>1.27</v>
      </c>
      <c r="S28" s="77">
        <v>1.21</v>
      </c>
      <c r="T28" s="77">
        <v>1.19</v>
      </c>
      <c r="U28" s="76" t="s">
        <v>31</v>
      </c>
      <c r="V28" s="71" t="s">
        <v>31</v>
      </c>
      <c r="W28" s="77">
        <v>1.24</v>
      </c>
      <c r="X28" s="71" t="s">
        <v>31</v>
      </c>
      <c r="Y28" s="77">
        <v>1.28</v>
      </c>
      <c r="Z28" s="71" t="s">
        <v>31</v>
      </c>
      <c r="AA28" s="71">
        <v>1.23</v>
      </c>
      <c r="AB28" s="71" t="s">
        <v>31</v>
      </c>
      <c r="AC28" s="71">
        <v>1.18</v>
      </c>
      <c r="AD28" s="71">
        <v>1.23</v>
      </c>
      <c r="AE28" s="71" t="s">
        <v>31</v>
      </c>
      <c r="AF28" s="71">
        <v>1.18</v>
      </c>
      <c r="AG28" s="71" t="s">
        <v>31</v>
      </c>
      <c r="AH28" s="71" t="s">
        <v>31</v>
      </c>
      <c r="AI28" s="73" t="s">
        <v>31</v>
      </c>
      <c r="AJ28" s="73" t="s">
        <v>31</v>
      </c>
      <c r="AK28" s="71">
        <v>1.2</v>
      </c>
      <c r="AL28" s="71">
        <v>1.25</v>
      </c>
      <c r="AM28" s="71">
        <v>1.1599999999999999</v>
      </c>
      <c r="AN28" s="82">
        <v>1.1200000000000001</v>
      </c>
      <c r="AO28" s="77">
        <v>1.23</v>
      </c>
      <c r="AP28" s="71" t="s">
        <v>31</v>
      </c>
      <c r="AQ28" s="79">
        <v>1.32</v>
      </c>
      <c r="AR28" s="71" t="s">
        <v>31</v>
      </c>
      <c r="AS28" s="72" t="s">
        <v>31</v>
      </c>
      <c r="AT28" s="72" t="s">
        <v>31</v>
      </c>
      <c r="AU28" s="71">
        <v>1.1599999999999999</v>
      </c>
      <c r="AV28" s="77">
        <v>1.23</v>
      </c>
      <c r="AW28" s="71" t="s">
        <v>31</v>
      </c>
      <c r="AX28" s="79">
        <v>1.32</v>
      </c>
      <c r="AY28" s="71" t="s">
        <v>31</v>
      </c>
      <c r="AZ28" s="72" t="s">
        <v>31</v>
      </c>
      <c r="BA28" s="72" t="s">
        <v>31</v>
      </c>
      <c r="BB28" s="74"/>
      <c r="BC28" s="69"/>
    </row>
    <row r="29" spans="1:55" x14ac:dyDescent="0.2">
      <c r="A29" s="71">
        <v>14</v>
      </c>
      <c r="B29" s="76">
        <v>1.28</v>
      </c>
      <c r="C29" s="71" t="s">
        <v>31</v>
      </c>
      <c r="D29" s="71" t="s">
        <v>31</v>
      </c>
      <c r="E29" s="71">
        <v>1.2</v>
      </c>
      <c r="F29" s="71">
        <v>1.2</v>
      </c>
      <c r="G29" s="71" t="s">
        <v>31</v>
      </c>
      <c r="H29" s="71" t="s">
        <v>31</v>
      </c>
      <c r="I29" s="76">
        <v>1.28</v>
      </c>
      <c r="J29" s="71" t="s">
        <v>31</v>
      </c>
      <c r="K29" s="76">
        <v>1.3</v>
      </c>
      <c r="L29" s="71" t="s">
        <v>31</v>
      </c>
      <c r="M29" s="71">
        <v>1.3</v>
      </c>
      <c r="N29" s="71">
        <v>1.25</v>
      </c>
      <c r="O29" s="71">
        <v>1.29</v>
      </c>
      <c r="P29" s="71" t="s">
        <v>31</v>
      </c>
      <c r="Q29" s="71" t="s">
        <v>31</v>
      </c>
      <c r="R29" s="71">
        <v>1.27</v>
      </c>
      <c r="S29" s="77">
        <v>1.21</v>
      </c>
      <c r="T29" s="77">
        <v>1.22</v>
      </c>
      <c r="U29" s="76" t="s">
        <v>31</v>
      </c>
      <c r="V29" s="71" t="s">
        <v>31</v>
      </c>
      <c r="W29" s="77">
        <v>1.24</v>
      </c>
      <c r="X29" s="71" t="s">
        <v>31</v>
      </c>
      <c r="Y29" s="77">
        <v>1.28</v>
      </c>
      <c r="Z29" s="71" t="s">
        <v>31</v>
      </c>
      <c r="AA29" s="71">
        <v>1.23</v>
      </c>
      <c r="AB29" s="71" t="s">
        <v>31</v>
      </c>
      <c r="AC29" s="71">
        <v>1.18</v>
      </c>
      <c r="AD29" s="71">
        <v>1.23</v>
      </c>
      <c r="AE29" s="71" t="s">
        <v>31</v>
      </c>
      <c r="AF29" s="71">
        <v>1.18</v>
      </c>
      <c r="AG29" s="71" t="s">
        <v>31</v>
      </c>
      <c r="AH29" s="71" t="s">
        <v>31</v>
      </c>
      <c r="AI29" s="73" t="s">
        <v>31</v>
      </c>
      <c r="AJ29" s="73" t="s">
        <v>31</v>
      </c>
      <c r="AK29" s="71">
        <v>1.2</v>
      </c>
      <c r="AL29" s="71">
        <v>1.25</v>
      </c>
      <c r="AM29" s="71">
        <v>1.1599999999999999</v>
      </c>
      <c r="AN29" s="82">
        <v>1.1200000000000001</v>
      </c>
      <c r="AO29" s="77">
        <v>1.23</v>
      </c>
      <c r="AP29" s="71" t="s">
        <v>31</v>
      </c>
      <c r="AQ29" s="79">
        <v>1.32</v>
      </c>
      <c r="AR29" s="71" t="s">
        <v>31</v>
      </c>
      <c r="AS29" s="72" t="s">
        <v>31</v>
      </c>
      <c r="AT29" s="72" t="s">
        <v>31</v>
      </c>
      <c r="AU29" s="71">
        <v>1.1599999999999999</v>
      </c>
      <c r="AV29" s="77">
        <v>1.23</v>
      </c>
      <c r="AW29" s="71" t="s">
        <v>31</v>
      </c>
      <c r="AX29" s="79">
        <v>1.32</v>
      </c>
      <c r="AY29" s="71" t="s">
        <v>31</v>
      </c>
      <c r="AZ29" s="72" t="s">
        <v>31</v>
      </c>
      <c r="BA29" s="72" t="s">
        <v>31</v>
      </c>
      <c r="BB29" s="74"/>
      <c r="BC29" s="69"/>
    </row>
    <row r="30" spans="1:55" x14ac:dyDescent="0.2">
      <c r="A30" s="71">
        <v>15</v>
      </c>
      <c r="B30" s="71">
        <v>1.28</v>
      </c>
      <c r="C30" s="71" t="s">
        <v>31</v>
      </c>
      <c r="D30" s="71" t="s">
        <v>31</v>
      </c>
      <c r="E30" s="71">
        <v>1.2</v>
      </c>
      <c r="F30" s="71">
        <v>1.2</v>
      </c>
      <c r="G30" s="71" t="s">
        <v>31</v>
      </c>
      <c r="H30" s="71" t="s">
        <v>31</v>
      </c>
      <c r="I30" s="71">
        <v>1.28</v>
      </c>
      <c r="J30" s="71" t="s">
        <v>31</v>
      </c>
      <c r="K30" s="71">
        <v>1.3</v>
      </c>
      <c r="L30" s="71" t="s">
        <v>31</v>
      </c>
      <c r="M30" s="76">
        <v>1.35</v>
      </c>
      <c r="N30" s="71">
        <v>1.25</v>
      </c>
      <c r="O30" s="71">
        <v>1.29</v>
      </c>
      <c r="P30" s="71" t="s">
        <v>31</v>
      </c>
      <c r="Q30" s="71" t="s">
        <v>31</v>
      </c>
      <c r="R30" s="71">
        <v>1.27</v>
      </c>
      <c r="S30" s="77">
        <v>1.21</v>
      </c>
      <c r="T30" s="77">
        <v>1.22</v>
      </c>
      <c r="U30" s="71" t="s">
        <v>31</v>
      </c>
      <c r="V30" s="71" t="s">
        <v>31</v>
      </c>
      <c r="W30" s="77">
        <v>1.24</v>
      </c>
      <c r="X30" s="71" t="s">
        <v>31</v>
      </c>
      <c r="Y30" s="77">
        <v>1.28</v>
      </c>
      <c r="Z30" s="71" t="s">
        <v>31</v>
      </c>
      <c r="AA30" s="71">
        <v>1.23</v>
      </c>
      <c r="AB30" s="71" t="s">
        <v>31</v>
      </c>
      <c r="AC30" s="71">
        <v>1.18</v>
      </c>
      <c r="AD30" s="71">
        <v>1.23</v>
      </c>
      <c r="AE30" s="71" t="s">
        <v>31</v>
      </c>
      <c r="AF30" s="71">
        <v>1.18</v>
      </c>
      <c r="AG30" s="71" t="s">
        <v>31</v>
      </c>
      <c r="AH30" s="71" t="s">
        <v>31</v>
      </c>
      <c r="AI30" s="73" t="s">
        <v>31</v>
      </c>
      <c r="AJ30" s="73" t="s">
        <v>31</v>
      </c>
      <c r="AK30" s="71">
        <v>1.2</v>
      </c>
      <c r="AL30" s="71">
        <v>1.25</v>
      </c>
      <c r="AM30" s="71">
        <v>1.1599999999999999</v>
      </c>
      <c r="AN30" s="82">
        <v>1.1200000000000001</v>
      </c>
      <c r="AO30" s="77">
        <v>1.23</v>
      </c>
      <c r="AP30" s="71" t="s">
        <v>31</v>
      </c>
      <c r="AQ30" s="79">
        <v>1.32</v>
      </c>
      <c r="AR30" s="71" t="s">
        <v>31</v>
      </c>
      <c r="AS30" s="72" t="s">
        <v>31</v>
      </c>
      <c r="AT30" s="72" t="s">
        <v>31</v>
      </c>
      <c r="AU30" s="71">
        <v>1.1599999999999999</v>
      </c>
      <c r="AV30" s="77">
        <v>1.23</v>
      </c>
      <c r="AW30" s="71" t="s">
        <v>31</v>
      </c>
      <c r="AX30" s="79">
        <v>1.32</v>
      </c>
      <c r="AY30" s="71" t="s">
        <v>31</v>
      </c>
      <c r="AZ30" s="72" t="s">
        <v>31</v>
      </c>
      <c r="BA30" s="72" t="s">
        <v>31</v>
      </c>
      <c r="BB30" s="74"/>
      <c r="BC30" s="69"/>
    </row>
    <row r="31" spans="1:55" x14ac:dyDescent="0.2">
      <c r="A31" s="71">
        <v>16</v>
      </c>
      <c r="B31" s="76">
        <v>1.28</v>
      </c>
      <c r="C31" s="71" t="s">
        <v>31</v>
      </c>
      <c r="D31" s="71" t="s">
        <v>31</v>
      </c>
      <c r="E31" s="71">
        <v>1.2</v>
      </c>
      <c r="F31" s="71">
        <v>1.2</v>
      </c>
      <c r="G31" s="71" t="s">
        <v>31</v>
      </c>
      <c r="H31" s="71" t="s">
        <v>31</v>
      </c>
      <c r="I31" s="76">
        <v>1.28</v>
      </c>
      <c r="J31" s="71" t="s">
        <v>31</v>
      </c>
      <c r="K31" s="76">
        <v>1.3</v>
      </c>
      <c r="L31" s="71" t="s">
        <v>31</v>
      </c>
      <c r="M31" s="76">
        <v>1.35</v>
      </c>
      <c r="N31" s="71">
        <v>1.25</v>
      </c>
      <c r="O31" s="71">
        <v>1.29</v>
      </c>
      <c r="P31" s="71" t="s">
        <v>31</v>
      </c>
      <c r="Q31" s="71" t="s">
        <v>31</v>
      </c>
      <c r="R31" s="71">
        <v>1.27</v>
      </c>
      <c r="S31" s="77">
        <v>1.21</v>
      </c>
      <c r="T31" s="77">
        <v>1.26</v>
      </c>
      <c r="U31" s="71" t="s">
        <v>31</v>
      </c>
      <c r="V31" s="71" t="s">
        <v>31</v>
      </c>
      <c r="W31" s="77">
        <v>1.24</v>
      </c>
      <c r="X31" s="71" t="s">
        <v>31</v>
      </c>
      <c r="Y31" s="77">
        <v>1.28</v>
      </c>
      <c r="Z31" s="71" t="s">
        <v>31</v>
      </c>
      <c r="AA31" s="71">
        <v>1.23</v>
      </c>
      <c r="AB31" s="71" t="s">
        <v>31</v>
      </c>
      <c r="AC31" s="71">
        <v>1.18</v>
      </c>
      <c r="AD31" s="71">
        <v>1.23</v>
      </c>
      <c r="AE31" s="71" t="s">
        <v>31</v>
      </c>
      <c r="AF31" s="71">
        <v>1.18</v>
      </c>
      <c r="AG31" s="71" t="s">
        <v>31</v>
      </c>
      <c r="AH31" s="71" t="s">
        <v>31</v>
      </c>
      <c r="AI31" s="73" t="s">
        <v>31</v>
      </c>
      <c r="AJ31" s="73" t="s">
        <v>31</v>
      </c>
      <c r="AK31" s="71">
        <v>1.2</v>
      </c>
      <c r="AL31" s="71">
        <v>1.25</v>
      </c>
      <c r="AM31" s="71">
        <v>1.1599999999999999</v>
      </c>
      <c r="AN31" s="82">
        <v>1.1200000000000001</v>
      </c>
      <c r="AO31" s="77">
        <v>1.23</v>
      </c>
      <c r="AP31" s="71" t="s">
        <v>31</v>
      </c>
      <c r="AQ31" s="79">
        <v>1.32</v>
      </c>
      <c r="AR31" s="71" t="s">
        <v>31</v>
      </c>
      <c r="AS31" s="72" t="s">
        <v>31</v>
      </c>
      <c r="AT31" s="72" t="s">
        <v>31</v>
      </c>
      <c r="AU31" s="71">
        <v>1.1599999999999999</v>
      </c>
      <c r="AV31" s="77">
        <v>1.23</v>
      </c>
      <c r="AW31" s="71" t="s">
        <v>31</v>
      </c>
      <c r="AX31" s="79">
        <v>1.32</v>
      </c>
      <c r="AY31" s="71" t="s">
        <v>31</v>
      </c>
      <c r="AZ31" s="72" t="s">
        <v>31</v>
      </c>
      <c r="BA31" s="72" t="s">
        <v>31</v>
      </c>
      <c r="BB31" s="74"/>
      <c r="BC31" s="69"/>
    </row>
    <row r="32" spans="1:55" x14ac:dyDescent="0.2">
      <c r="A32" s="71">
        <v>18</v>
      </c>
      <c r="B32" s="71">
        <v>1.28</v>
      </c>
      <c r="C32" s="71" t="s">
        <v>31</v>
      </c>
      <c r="D32" s="71" t="s">
        <v>31</v>
      </c>
      <c r="E32" s="71">
        <v>1.25</v>
      </c>
      <c r="F32" s="71">
        <v>1.25</v>
      </c>
      <c r="G32" s="71" t="s">
        <v>31</v>
      </c>
      <c r="H32" s="71" t="s">
        <v>31</v>
      </c>
      <c r="I32" s="71">
        <v>1.28</v>
      </c>
      <c r="J32" s="71" t="s">
        <v>31</v>
      </c>
      <c r="K32" s="76">
        <v>1.3</v>
      </c>
      <c r="L32" s="71" t="s">
        <v>31</v>
      </c>
      <c r="M32" s="76">
        <v>1.35</v>
      </c>
      <c r="N32" s="71">
        <v>1.29</v>
      </c>
      <c r="O32" s="71">
        <v>1.37</v>
      </c>
      <c r="P32" s="71" t="s">
        <v>31</v>
      </c>
      <c r="Q32" s="71" t="s">
        <v>31</v>
      </c>
      <c r="R32" s="71">
        <v>1.27</v>
      </c>
      <c r="S32" s="77">
        <v>1.26</v>
      </c>
      <c r="T32" s="77">
        <v>1.26</v>
      </c>
      <c r="U32" s="71" t="s">
        <v>31</v>
      </c>
      <c r="V32" s="71" t="s">
        <v>31</v>
      </c>
      <c r="W32" s="77">
        <v>1.24</v>
      </c>
      <c r="X32" s="71" t="s">
        <v>31</v>
      </c>
      <c r="Y32" s="77">
        <v>1.28</v>
      </c>
      <c r="Z32" s="71" t="s">
        <v>31</v>
      </c>
      <c r="AA32" s="71">
        <v>1.23</v>
      </c>
      <c r="AB32" s="71" t="s">
        <v>31</v>
      </c>
      <c r="AC32" s="71">
        <v>1.25</v>
      </c>
      <c r="AD32" s="71">
        <v>1.23</v>
      </c>
      <c r="AE32" s="71" t="s">
        <v>31</v>
      </c>
      <c r="AF32" s="71">
        <v>1.25</v>
      </c>
      <c r="AG32" s="71" t="s">
        <v>31</v>
      </c>
      <c r="AH32" s="71" t="s">
        <v>31</v>
      </c>
      <c r="AI32" s="73" t="s">
        <v>31</v>
      </c>
      <c r="AJ32" s="73" t="s">
        <v>31</v>
      </c>
      <c r="AK32" s="71">
        <v>1.25</v>
      </c>
      <c r="AL32" s="71">
        <v>1.29</v>
      </c>
      <c r="AM32" s="71">
        <v>1.22</v>
      </c>
      <c r="AN32" s="82">
        <v>1.22</v>
      </c>
      <c r="AO32" s="77">
        <v>1.23</v>
      </c>
      <c r="AP32" s="71" t="s">
        <v>31</v>
      </c>
      <c r="AQ32" s="79">
        <v>1.32</v>
      </c>
      <c r="AR32" s="71" t="s">
        <v>31</v>
      </c>
      <c r="AS32" s="72" t="s">
        <v>31</v>
      </c>
      <c r="AT32" s="72" t="s">
        <v>31</v>
      </c>
      <c r="AU32" s="71">
        <v>1.22</v>
      </c>
      <c r="AV32" s="77">
        <v>1.23</v>
      </c>
      <c r="AW32" s="71" t="s">
        <v>31</v>
      </c>
      <c r="AX32" s="79">
        <v>1.32</v>
      </c>
      <c r="AY32" s="71" t="s">
        <v>31</v>
      </c>
      <c r="AZ32" s="72" t="s">
        <v>31</v>
      </c>
      <c r="BA32" s="72" t="s">
        <v>31</v>
      </c>
      <c r="BB32" s="74"/>
      <c r="BC32" s="69"/>
    </row>
    <row r="33" spans="1:55" x14ac:dyDescent="0.2">
      <c r="A33" s="71">
        <v>18.100000000000001</v>
      </c>
      <c r="B33" s="71" t="s">
        <v>31</v>
      </c>
      <c r="C33" s="71" t="s">
        <v>31</v>
      </c>
      <c r="D33" s="71" t="s">
        <v>31</v>
      </c>
      <c r="E33" s="76">
        <v>1.25</v>
      </c>
      <c r="F33" s="76">
        <v>1.25</v>
      </c>
      <c r="G33" s="71" t="s">
        <v>31</v>
      </c>
      <c r="H33" s="71" t="s">
        <v>31</v>
      </c>
      <c r="I33" s="71" t="s">
        <v>31</v>
      </c>
      <c r="J33" s="71" t="s">
        <v>31</v>
      </c>
      <c r="K33" s="71" t="s">
        <v>31</v>
      </c>
      <c r="L33" s="71" t="s">
        <v>31</v>
      </c>
      <c r="M33" s="71" t="s">
        <v>31</v>
      </c>
      <c r="N33" s="71">
        <v>1.29</v>
      </c>
      <c r="O33" s="71">
        <v>1.37</v>
      </c>
      <c r="P33" s="71" t="s">
        <v>31</v>
      </c>
      <c r="Q33" s="71" t="s">
        <v>31</v>
      </c>
      <c r="R33" s="71" t="s">
        <v>31</v>
      </c>
      <c r="S33" s="71">
        <v>1.26</v>
      </c>
      <c r="T33" s="71" t="s">
        <v>31</v>
      </c>
      <c r="U33" s="71" t="s">
        <v>31</v>
      </c>
      <c r="V33" s="71" t="s">
        <v>31</v>
      </c>
      <c r="W33" s="71" t="s">
        <v>31</v>
      </c>
      <c r="X33" s="71" t="s">
        <v>31</v>
      </c>
      <c r="Y33" s="71" t="s">
        <v>31</v>
      </c>
      <c r="Z33" s="71" t="s">
        <v>31</v>
      </c>
      <c r="AA33" s="71" t="s">
        <v>31</v>
      </c>
      <c r="AB33" s="71" t="s">
        <v>31</v>
      </c>
      <c r="AC33" s="71">
        <v>1.25</v>
      </c>
      <c r="AD33" s="71" t="s">
        <v>31</v>
      </c>
      <c r="AE33" s="71" t="s">
        <v>31</v>
      </c>
      <c r="AF33" s="71">
        <v>1.25</v>
      </c>
      <c r="AG33" s="71" t="s">
        <v>31</v>
      </c>
      <c r="AH33" s="71" t="s">
        <v>31</v>
      </c>
      <c r="AI33" s="73" t="s">
        <v>31</v>
      </c>
      <c r="AJ33" s="73" t="s">
        <v>31</v>
      </c>
      <c r="AK33" s="71">
        <v>1.25</v>
      </c>
      <c r="AL33" s="71">
        <v>1.29</v>
      </c>
      <c r="AM33" s="71">
        <v>1.22</v>
      </c>
      <c r="AN33" s="82">
        <v>1.22</v>
      </c>
      <c r="AO33" s="71" t="s">
        <v>31</v>
      </c>
      <c r="AP33" s="71" t="s">
        <v>31</v>
      </c>
      <c r="AQ33" s="71" t="s">
        <v>31</v>
      </c>
      <c r="AR33" s="71" t="s">
        <v>31</v>
      </c>
      <c r="AS33" s="72" t="s">
        <v>31</v>
      </c>
      <c r="AT33" s="72" t="s">
        <v>31</v>
      </c>
      <c r="AU33" s="71">
        <v>1.22</v>
      </c>
      <c r="AV33" s="71" t="s">
        <v>31</v>
      </c>
      <c r="AW33" s="71" t="s">
        <v>31</v>
      </c>
      <c r="AX33" s="71" t="s">
        <v>31</v>
      </c>
      <c r="AY33" s="71" t="s">
        <v>31</v>
      </c>
      <c r="AZ33" s="72" t="s">
        <v>31</v>
      </c>
      <c r="BA33" s="72" t="s">
        <v>31</v>
      </c>
      <c r="BB33" s="74"/>
      <c r="BC33" s="69"/>
    </row>
    <row r="34" spans="1:55" x14ac:dyDescent="0.2">
      <c r="A34" s="71">
        <v>26.5</v>
      </c>
      <c r="B34" s="71" t="s">
        <v>31</v>
      </c>
      <c r="C34" s="71" t="s">
        <v>31</v>
      </c>
      <c r="D34" s="71" t="s">
        <v>31</v>
      </c>
      <c r="E34" s="76">
        <v>1.25</v>
      </c>
      <c r="F34" s="71">
        <v>1.3</v>
      </c>
      <c r="G34" s="76">
        <v>1.4</v>
      </c>
      <c r="H34" s="71" t="s">
        <v>31</v>
      </c>
      <c r="I34" s="71" t="s">
        <v>31</v>
      </c>
      <c r="J34" s="71" t="s">
        <v>31</v>
      </c>
      <c r="K34" s="71" t="s">
        <v>31</v>
      </c>
      <c r="L34" s="71" t="s">
        <v>31</v>
      </c>
      <c r="M34" s="71" t="s">
        <v>31</v>
      </c>
      <c r="N34" s="71">
        <v>1.29</v>
      </c>
      <c r="O34" s="71">
        <v>1.37</v>
      </c>
      <c r="P34" s="71">
        <v>1.4</v>
      </c>
      <c r="Q34" s="71" t="s">
        <v>31</v>
      </c>
      <c r="R34" s="71" t="s">
        <v>31</v>
      </c>
      <c r="S34" s="71">
        <v>1.26</v>
      </c>
      <c r="T34" s="71" t="s">
        <v>31</v>
      </c>
      <c r="U34" s="71" t="s">
        <v>31</v>
      </c>
      <c r="V34" s="71" t="s">
        <v>31</v>
      </c>
      <c r="W34" s="71" t="s">
        <v>31</v>
      </c>
      <c r="X34" s="71" t="s">
        <v>31</v>
      </c>
      <c r="Y34" s="71" t="s">
        <v>31</v>
      </c>
      <c r="Z34" s="71" t="s">
        <v>31</v>
      </c>
      <c r="AA34" s="71" t="s">
        <v>31</v>
      </c>
      <c r="AB34" s="71" t="s">
        <v>31</v>
      </c>
      <c r="AC34" s="76">
        <v>1.31</v>
      </c>
      <c r="AD34" s="71" t="s">
        <v>31</v>
      </c>
      <c r="AE34" s="71" t="s">
        <v>31</v>
      </c>
      <c r="AF34" s="76">
        <v>1.31</v>
      </c>
      <c r="AG34" s="71" t="s">
        <v>31</v>
      </c>
      <c r="AH34" s="71" t="s">
        <v>31</v>
      </c>
      <c r="AI34" s="73" t="s">
        <v>31</v>
      </c>
      <c r="AJ34" s="73" t="s">
        <v>31</v>
      </c>
      <c r="AK34" s="71">
        <v>1.4</v>
      </c>
      <c r="AL34" s="71">
        <v>1.35</v>
      </c>
      <c r="AM34" s="71">
        <v>1.3</v>
      </c>
      <c r="AN34" s="82">
        <v>1.31</v>
      </c>
      <c r="AO34" s="71" t="s">
        <v>31</v>
      </c>
      <c r="AP34" s="71" t="s">
        <v>31</v>
      </c>
      <c r="AQ34" s="71" t="s">
        <v>31</v>
      </c>
      <c r="AR34" s="71" t="s">
        <v>31</v>
      </c>
      <c r="AS34" s="71">
        <v>1.4</v>
      </c>
      <c r="AT34" s="72" t="s">
        <v>31</v>
      </c>
      <c r="AU34" s="71">
        <v>1.3</v>
      </c>
      <c r="AV34" s="71" t="s">
        <v>31</v>
      </c>
      <c r="AW34" s="71" t="s">
        <v>31</v>
      </c>
      <c r="AX34" s="71" t="s">
        <v>31</v>
      </c>
      <c r="AY34" s="71" t="s">
        <v>31</v>
      </c>
      <c r="AZ34" s="71">
        <v>1.4</v>
      </c>
      <c r="BA34" s="72" t="s">
        <v>31</v>
      </c>
      <c r="BB34" s="74"/>
      <c r="BC34" s="69"/>
    </row>
    <row r="35" spans="1:55" x14ac:dyDescent="0.2">
      <c r="A35" s="71">
        <v>26.6</v>
      </c>
      <c r="B35" s="71" t="s">
        <v>31</v>
      </c>
      <c r="C35" s="71" t="s">
        <v>31</v>
      </c>
      <c r="D35" s="71" t="s">
        <v>31</v>
      </c>
      <c r="E35" s="71" t="s">
        <v>31</v>
      </c>
      <c r="F35" s="71">
        <v>1.3</v>
      </c>
      <c r="G35" s="76">
        <v>1.4</v>
      </c>
      <c r="H35" s="71" t="s">
        <v>31</v>
      </c>
      <c r="I35" s="71" t="s">
        <v>31</v>
      </c>
      <c r="J35" s="71" t="s">
        <v>31</v>
      </c>
      <c r="K35" s="71" t="s">
        <v>31</v>
      </c>
      <c r="L35" s="71" t="s">
        <v>31</v>
      </c>
      <c r="M35" s="71" t="s">
        <v>31</v>
      </c>
      <c r="N35" s="71" t="s">
        <v>31</v>
      </c>
      <c r="O35" s="71">
        <v>1.37</v>
      </c>
      <c r="P35" s="71">
        <v>1.4</v>
      </c>
      <c r="Q35" s="76" t="s">
        <v>31</v>
      </c>
      <c r="R35" s="71" t="s">
        <v>31</v>
      </c>
      <c r="S35" s="71" t="s">
        <v>31</v>
      </c>
      <c r="T35" s="71" t="s">
        <v>31</v>
      </c>
      <c r="U35" s="71" t="s">
        <v>31</v>
      </c>
      <c r="V35" s="71" t="s">
        <v>31</v>
      </c>
      <c r="W35" s="71" t="s">
        <v>31</v>
      </c>
      <c r="X35" s="71" t="s">
        <v>31</v>
      </c>
      <c r="Y35" s="71" t="s">
        <v>31</v>
      </c>
      <c r="Z35" s="71" t="s">
        <v>31</v>
      </c>
      <c r="AA35" s="71" t="s">
        <v>31</v>
      </c>
      <c r="AB35" s="71" t="s">
        <v>31</v>
      </c>
      <c r="AC35" s="71">
        <v>1.31</v>
      </c>
      <c r="AD35" s="71" t="s">
        <v>31</v>
      </c>
      <c r="AE35" s="71" t="s">
        <v>31</v>
      </c>
      <c r="AF35" s="71">
        <v>1.31</v>
      </c>
      <c r="AG35" s="71" t="s">
        <v>31</v>
      </c>
      <c r="AH35" s="71" t="s">
        <v>31</v>
      </c>
      <c r="AI35" s="73" t="s">
        <v>31</v>
      </c>
      <c r="AJ35" s="73" t="s">
        <v>31</v>
      </c>
      <c r="AK35" s="71">
        <v>1.4</v>
      </c>
      <c r="AL35" s="71">
        <v>1.35</v>
      </c>
      <c r="AM35" s="71">
        <v>1.3</v>
      </c>
      <c r="AN35" s="82">
        <v>1.31</v>
      </c>
      <c r="AO35" s="71" t="s">
        <v>31</v>
      </c>
      <c r="AP35" s="71" t="s">
        <v>31</v>
      </c>
      <c r="AQ35" s="71" t="s">
        <v>31</v>
      </c>
      <c r="AR35" s="71" t="s">
        <v>31</v>
      </c>
      <c r="AS35" s="71">
        <v>1.4</v>
      </c>
      <c r="AT35" s="72" t="s">
        <v>31</v>
      </c>
      <c r="AU35" s="71">
        <v>1.3</v>
      </c>
      <c r="AV35" s="71" t="s">
        <v>31</v>
      </c>
      <c r="AW35" s="71" t="s">
        <v>31</v>
      </c>
      <c r="AX35" s="71" t="s">
        <v>31</v>
      </c>
      <c r="AY35" s="71" t="s">
        <v>31</v>
      </c>
      <c r="AZ35" s="71">
        <v>1.4</v>
      </c>
      <c r="BA35" s="72" t="s">
        <v>31</v>
      </c>
      <c r="BB35" s="74"/>
      <c r="BC35" s="69"/>
    </row>
    <row r="36" spans="1:55" x14ac:dyDescent="0.2">
      <c r="A36" s="71">
        <v>33</v>
      </c>
      <c r="B36" s="71" t="s">
        <v>31</v>
      </c>
      <c r="C36" s="71" t="s">
        <v>31</v>
      </c>
      <c r="D36" s="71" t="s">
        <v>31</v>
      </c>
      <c r="E36" s="71" t="s">
        <v>31</v>
      </c>
      <c r="F36" s="71">
        <v>1.3</v>
      </c>
      <c r="G36" s="71">
        <v>1.4</v>
      </c>
      <c r="H36" s="71">
        <v>1.5</v>
      </c>
      <c r="I36" s="71" t="s">
        <v>31</v>
      </c>
      <c r="J36" s="71" t="s">
        <v>31</v>
      </c>
      <c r="K36" s="71" t="s">
        <v>31</v>
      </c>
      <c r="L36" s="71" t="s">
        <v>31</v>
      </c>
      <c r="M36" s="71" t="s">
        <v>31</v>
      </c>
      <c r="N36" s="71" t="s">
        <v>31</v>
      </c>
      <c r="O36" s="71">
        <v>1.37</v>
      </c>
      <c r="P36" s="71">
        <v>1.4</v>
      </c>
      <c r="Q36" s="71">
        <v>1.4</v>
      </c>
      <c r="R36" s="71" t="s">
        <v>31</v>
      </c>
      <c r="S36" s="71" t="s">
        <v>31</v>
      </c>
      <c r="T36" s="71" t="s">
        <v>31</v>
      </c>
      <c r="U36" s="71" t="s">
        <v>31</v>
      </c>
      <c r="V36" s="71" t="s">
        <v>31</v>
      </c>
      <c r="W36" s="71" t="s">
        <v>31</v>
      </c>
      <c r="X36" s="71" t="s">
        <v>31</v>
      </c>
      <c r="Y36" s="71" t="s">
        <v>31</v>
      </c>
      <c r="Z36" s="71" t="s">
        <v>31</v>
      </c>
      <c r="AA36" s="71" t="s">
        <v>31</v>
      </c>
      <c r="AB36" s="71" t="s">
        <v>31</v>
      </c>
      <c r="AC36" s="71">
        <v>1.31</v>
      </c>
      <c r="AD36" s="71" t="s">
        <v>31</v>
      </c>
      <c r="AE36" s="71" t="s">
        <v>31</v>
      </c>
      <c r="AF36" s="71">
        <v>1.31</v>
      </c>
      <c r="AG36" s="71" t="s">
        <v>31</v>
      </c>
      <c r="AH36" s="71" t="s">
        <v>31</v>
      </c>
      <c r="AI36" s="73" t="s">
        <v>31</v>
      </c>
      <c r="AJ36" s="73" t="s">
        <v>31</v>
      </c>
      <c r="AK36" s="71">
        <v>1.4</v>
      </c>
      <c r="AL36" s="71">
        <v>1.35</v>
      </c>
      <c r="AM36" s="71">
        <v>1.3</v>
      </c>
      <c r="AN36" s="82">
        <v>1.31</v>
      </c>
      <c r="AO36" s="71" t="s">
        <v>31</v>
      </c>
      <c r="AP36" s="71" t="s">
        <v>31</v>
      </c>
      <c r="AQ36" s="71" t="s">
        <v>31</v>
      </c>
      <c r="AR36" s="71" t="s">
        <v>31</v>
      </c>
      <c r="AS36" s="71">
        <v>1.4</v>
      </c>
      <c r="AT36" s="71">
        <v>1.5</v>
      </c>
      <c r="AU36" s="71">
        <v>1.3</v>
      </c>
      <c r="AV36" s="71" t="s">
        <v>31</v>
      </c>
      <c r="AW36" s="71" t="s">
        <v>31</v>
      </c>
      <c r="AX36" s="71" t="s">
        <v>31</v>
      </c>
      <c r="AY36" s="71" t="s">
        <v>31</v>
      </c>
      <c r="AZ36" s="71">
        <v>1.4</v>
      </c>
      <c r="BA36" s="71">
        <v>1.5</v>
      </c>
      <c r="BB36" s="74"/>
      <c r="BC36" s="69"/>
    </row>
    <row r="37" spans="1:55" x14ac:dyDescent="0.2">
      <c r="A37" s="71">
        <v>33.1</v>
      </c>
      <c r="B37" s="71" t="s">
        <v>31</v>
      </c>
      <c r="C37" s="71" t="s">
        <v>31</v>
      </c>
      <c r="D37" s="71" t="s">
        <v>31</v>
      </c>
      <c r="E37" s="71" t="s">
        <v>31</v>
      </c>
      <c r="F37" s="71">
        <v>1.3</v>
      </c>
      <c r="G37" s="71">
        <v>1.4</v>
      </c>
      <c r="H37" s="71">
        <v>1.5</v>
      </c>
      <c r="I37" s="71" t="s">
        <v>31</v>
      </c>
      <c r="J37" s="71" t="s">
        <v>31</v>
      </c>
      <c r="K37" s="71" t="s">
        <v>31</v>
      </c>
      <c r="L37" s="71" t="s">
        <v>31</v>
      </c>
      <c r="M37" s="71" t="s">
        <v>31</v>
      </c>
      <c r="N37" s="71" t="s">
        <v>31</v>
      </c>
      <c r="O37" s="76">
        <v>1.37</v>
      </c>
      <c r="P37" s="71">
        <v>1.4</v>
      </c>
      <c r="Q37" s="71">
        <v>1.4</v>
      </c>
      <c r="R37" s="71" t="s">
        <v>31</v>
      </c>
      <c r="S37" s="71" t="s">
        <v>31</v>
      </c>
      <c r="T37" s="71" t="s">
        <v>31</v>
      </c>
      <c r="U37" s="71" t="s">
        <v>31</v>
      </c>
      <c r="V37" s="71" t="s">
        <v>31</v>
      </c>
      <c r="W37" s="71" t="s">
        <v>31</v>
      </c>
      <c r="X37" s="71" t="s">
        <v>31</v>
      </c>
      <c r="Y37" s="71" t="s">
        <v>31</v>
      </c>
      <c r="Z37" s="71" t="s">
        <v>31</v>
      </c>
      <c r="AA37" s="71" t="s">
        <v>31</v>
      </c>
      <c r="AB37" s="71" t="s">
        <v>31</v>
      </c>
      <c r="AC37" s="71" t="s">
        <v>31</v>
      </c>
      <c r="AD37" s="71" t="s">
        <v>31</v>
      </c>
      <c r="AE37" s="71" t="s">
        <v>31</v>
      </c>
      <c r="AF37" s="71" t="s">
        <v>31</v>
      </c>
      <c r="AG37" s="71" t="s">
        <v>31</v>
      </c>
      <c r="AH37" s="71" t="s">
        <v>31</v>
      </c>
      <c r="AI37" s="73" t="s">
        <v>31</v>
      </c>
      <c r="AJ37" s="73" t="s">
        <v>31</v>
      </c>
      <c r="AK37" s="71" t="s">
        <v>31</v>
      </c>
      <c r="AL37" s="71" t="s">
        <v>31</v>
      </c>
      <c r="AM37" s="71">
        <v>1.3</v>
      </c>
      <c r="AN37" s="82">
        <v>1.31</v>
      </c>
      <c r="AO37" s="71" t="s">
        <v>31</v>
      </c>
      <c r="AP37" s="71" t="s">
        <v>31</v>
      </c>
      <c r="AQ37" s="71" t="s">
        <v>31</v>
      </c>
      <c r="AR37" s="71" t="s">
        <v>31</v>
      </c>
      <c r="AS37" s="71">
        <v>1.4</v>
      </c>
      <c r="AT37" s="71">
        <v>1.5</v>
      </c>
      <c r="AU37" s="71">
        <v>1.3</v>
      </c>
      <c r="AV37" s="71" t="s">
        <v>31</v>
      </c>
      <c r="AW37" s="71" t="s">
        <v>31</v>
      </c>
      <c r="AX37" s="71" t="s">
        <v>31</v>
      </c>
      <c r="AY37" s="71" t="s">
        <v>31</v>
      </c>
      <c r="AZ37" s="71">
        <v>1.4</v>
      </c>
      <c r="BA37" s="71">
        <v>1.5</v>
      </c>
      <c r="BB37" s="74"/>
      <c r="BC37" s="69"/>
    </row>
    <row r="38" spans="1:55" x14ac:dyDescent="0.2">
      <c r="A38" s="71">
        <v>34</v>
      </c>
      <c r="B38" s="71" t="s">
        <v>31</v>
      </c>
      <c r="C38" s="71" t="s">
        <v>31</v>
      </c>
      <c r="D38" s="71" t="s">
        <v>31</v>
      </c>
      <c r="E38" s="71" t="s">
        <v>31</v>
      </c>
      <c r="F38" s="71">
        <v>1.3</v>
      </c>
      <c r="G38" s="71">
        <v>1.4</v>
      </c>
      <c r="H38" s="71">
        <v>1.5</v>
      </c>
      <c r="I38" s="71" t="s">
        <v>31</v>
      </c>
      <c r="J38" s="71" t="s">
        <v>31</v>
      </c>
      <c r="K38" s="71" t="s">
        <v>31</v>
      </c>
      <c r="L38" s="71" t="s">
        <v>31</v>
      </c>
      <c r="M38" s="71" t="s">
        <v>31</v>
      </c>
      <c r="N38" s="71" t="s">
        <v>31</v>
      </c>
      <c r="O38" s="71">
        <v>1.61</v>
      </c>
      <c r="P38" s="71">
        <v>1.4</v>
      </c>
      <c r="Q38" s="71">
        <v>1.4</v>
      </c>
      <c r="R38" s="71" t="s">
        <v>31</v>
      </c>
      <c r="S38" s="71" t="s">
        <v>31</v>
      </c>
      <c r="T38" s="71" t="s">
        <v>31</v>
      </c>
      <c r="U38" s="71" t="s">
        <v>31</v>
      </c>
      <c r="V38" s="71" t="s">
        <v>31</v>
      </c>
      <c r="W38" s="71" t="s">
        <v>31</v>
      </c>
      <c r="X38" s="71" t="s">
        <v>31</v>
      </c>
      <c r="Y38" s="71" t="s">
        <v>31</v>
      </c>
      <c r="Z38" s="71" t="s">
        <v>31</v>
      </c>
      <c r="AA38" s="71" t="s">
        <v>31</v>
      </c>
      <c r="AB38" s="71" t="s">
        <v>31</v>
      </c>
      <c r="AC38" s="71" t="s">
        <v>31</v>
      </c>
      <c r="AD38" s="71" t="s">
        <v>31</v>
      </c>
      <c r="AE38" s="71" t="s">
        <v>31</v>
      </c>
      <c r="AF38" s="71" t="s">
        <v>31</v>
      </c>
      <c r="AG38" s="71" t="s">
        <v>31</v>
      </c>
      <c r="AH38" s="71" t="s">
        <v>31</v>
      </c>
      <c r="AI38" s="73" t="s">
        <v>31</v>
      </c>
      <c r="AJ38" s="73" t="s">
        <v>31</v>
      </c>
      <c r="AK38" s="71" t="s">
        <v>31</v>
      </c>
      <c r="AL38" s="71" t="s">
        <v>31</v>
      </c>
      <c r="AM38" s="71">
        <v>1.3</v>
      </c>
      <c r="AN38" s="82">
        <v>1.31</v>
      </c>
      <c r="AO38" s="71" t="s">
        <v>31</v>
      </c>
      <c r="AP38" s="71" t="s">
        <v>31</v>
      </c>
      <c r="AQ38" s="71" t="s">
        <v>31</v>
      </c>
      <c r="AR38" s="71" t="s">
        <v>31</v>
      </c>
      <c r="AS38" s="71">
        <v>1.4</v>
      </c>
      <c r="AT38" s="71">
        <v>1.5</v>
      </c>
      <c r="AU38" s="71">
        <v>1.3</v>
      </c>
      <c r="AV38" s="71" t="s">
        <v>31</v>
      </c>
      <c r="AW38" s="71" t="s">
        <v>31</v>
      </c>
      <c r="AX38" s="71" t="s">
        <v>31</v>
      </c>
      <c r="AY38" s="71" t="s">
        <v>31</v>
      </c>
      <c r="AZ38" s="71">
        <v>1.4</v>
      </c>
      <c r="BA38" s="71">
        <v>1.5</v>
      </c>
      <c r="BB38" s="74"/>
      <c r="BC38" s="69"/>
    </row>
    <row r="39" spans="1:55" x14ac:dyDescent="0.2">
      <c r="A39" s="71">
        <v>40</v>
      </c>
      <c r="B39" s="71" t="s">
        <v>31</v>
      </c>
      <c r="C39" s="71" t="s">
        <v>31</v>
      </c>
      <c r="D39" s="71" t="s">
        <v>31</v>
      </c>
      <c r="E39" s="71" t="s">
        <v>31</v>
      </c>
      <c r="F39" s="71">
        <v>1.5</v>
      </c>
      <c r="G39" s="71">
        <v>1.4</v>
      </c>
      <c r="H39" s="76">
        <v>1.5</v>
      </c>
      <c r="I39" s="71" t="s">
        <v>31</v>
      </c>
      <c r="J39" s="71" t="s">
        <v>31</v>
      </c>
      <c r="K39" s="71" t="s">
        <v>31</v>
      </c>
      <c r="L39" s="71" t="s">
        <v>31</v>
      </c>
      <c r="M39" s="71" t="s">
        <v>31</v>
      </c>
      <c r="N39" s="71" t="s">
        <v>31</v>
      </c>
      <c r="O39" s="71">
        <v>1.89</v>
      </c>
      <c r="P39" s="71">
        <v>1.4</v>
      </c>
      <c r="Q39" s="71">
        <v>1.4</v>
      </c>
      <c r="R39" s="71" t="s">
        <v>31</v>
      </c>
      <c r="S39" s="71" t="s">
        <v>31</v>
      </c>
      <c r="T39" s="71" t="s">
        <v>31</v>
      </c>
      <c r="U39" s="71" t="s">
        <v>31</v>
      </c>
      <c r="V39" s="71" t="s">
        <v>31</v>
      </c>
      <c r="W39" s="71" t="s">
        <v>31</v>
      </c>
      <c r="X39" s="71" t="s">
        <v>31</v>
      </c>
      <c r="Y39" s="71" t="s">
        <v>31</v>
      </c>
      <c r="Z39" s="71" t="s">
        <v>31</v>
      </c>
      <c r="AA39" s="71" t="s">
        <v>31</v>
      </c>
      <c r="AB39" s="71" t="s">
        <v>31</v>
      </c>
      <c r="AC39" s="71" t="s">
        <v>31</v>
      </c>
      <c r="AD39" s="71" t="s">
        <v>31</v>
      </c>
      <c r="AE39" s="71" t="s">
        <v>31</v>
      </c>
      <c r="AF39" s="71" t="s">
        <v>31</v>
      </c>
      <c r="AG39" s="71" t="s">
        <v>31</v>
      </c>
      <c r="AH39" s="71" t="s">
        <v>31</v>
      </c>
      <c r="AI39" s="73" t="s">
        <v>31</v>
      </c>
      <c r="AJ39" s="73" t="s">
        <v>31</v>
      </c>
      <c r="AK39" s="71" t="s">
        <v>31</v>
      </c>
      <c r="AL39" s="71" t="s">
        <v>31</v>
      </c>
      <c r="AM39" s="71">
        <v>1.34</v>
      </c>
      <c r="AN39" s="82">
        <v>1.47</v>
      </c>
      <c r="AO39" s="71" t="s">
        <v>31</v>
      </c>
      <c r="AP39" s="71" t="s">
        <v>31</v>
      </c>
      <c r="AQ39" s="71" t="s">
        <v>31</v>
      </c>
      <c r="AR39" s="71" t="s">
        <v>31</v>
      </c>
      <c r="AS39" s="71">
        <v>1.4</v>
      </c>
      <c r="AT39" s="71">
        <v>1.5</v>
      </c>
      <c r="AU39" s="71">
        <v>1.34</v>
      </c>
      <c r="AV39" s="71" t="s">
        <v>31</v>
      </c>
      <c r="AW39" s="71" t="s">
        <v>31</v>
      </c>
      <c r="AX39" s="71" t="s">
        <v>31</v>
      </c>
      <c r="AY39" s="71" t="s">
        <v>31</v>
      </c>
      <c r="AZ39" s="71">
        <v>1.4</v>
      </c>
      <c r="BA39" s="71">
        <v>1.5</v>
      </c>
      <c r="BB39" s="74"/>
      <c r="BC39" s="69"/>
    </row>
    <row r="40" spans="1:55" x14ac:dyDescent="0.2">
      <c r="A40" s="71">
        <v>40.1</v>
      </c>
      <c r="B40" s="71" t="s">
        <v>31</v>
      </c>
      <c r="C40" s="71" t="s">
        <v>31</v>
      </c>
      <c r="D40" s="71" t="s">
        <v>31</v>
      </c>
      <c r="E40" s="71" t="s">
        <v>31</v>
      </c>
      <c r="F40" s="71">
        <v>1.5</v>
      </c>
      <c r="G40" s="71" t="s">
        <v>31</v>
      </c>
      <c r="H40" s="76">
        <v>1.5</v>
      </c>
      <c r="I40" s="71" t="s">
        <v>31</v>
      </c>
      <c r="J40" s="71" t="s">
        <v>31</v>
      </c>
      <c r="K40" s="71" t="s">
        <v>31</v>
      </c>
      <c r="L40" s="71" t="s">
        <v>31</v>
      </c>
      <c r="M40" s="71" t="s">
        <v>31</v>
      </c>
      <c r="N40" s="71" t="s">
        <v>31</v>
      </c>
      <c r="O40" s="71">
        <v>1.89</v>
      </c>
      <c r="P40" s="71" t="s">
        <v>31</v>
      </c>
      <c r="Q40" s="71">
        <v>1.4</v>
      </c>
      <c r="R40" s="71" t="s">
        <v>31</v>
      </c>
      <c r="S40" s="71" t="s">
        <v>31</v>
      </c>
      <c r="T40" s="71" t="s">
        <v>31</v>
      </c>
      <c r="U40" s="71" t="s">
        <v>31</v>
      </c>
      <c r="V40" s="71" t="s">
        <v>31</v>
      </c>
      <c r="W40" s="71" t="s">
        <v>31</v>
      </c>
      <c r="X40" s="71" t="s">
        <v>31</v>
      </c>
      <c r="Y40" s="71" t="s">
        <v>31</v>
      </c>
      <c r="Z40" s="71" t="s">
        <v>31</v>
      </c>
      <c r="AA40" s="71" t="s">
        <v>31</v>
      </c>
      <c r="AB40" s="71" t="s">
        <v>31</v>
      </c>
      <c r="AC40" s="71" t="s">
        <v>31</v>
      </c>
      <c r="AD40" s="71" t="s">
        <v>31</v>
      </c>
      <c r="AE40" s="71" t="s">
        <v>31</v>
      </c>
      <c r="AF40" s="71" t="s">
        <v>31</v>
      </c>
      <c r="AG40" s="71" t="s">
        <v>31</v>
      </c>
      <c r="AH40" s="71" t="s">
        <v>31</v>
      </c>
      <c r="AI40" s="73" t="s">
        <v>31</v>
      </c>
      <c r="AJ40" s="73" t="s">
        <v>31</v>
      </c>
      <c r="AK40" s="71" t="s">
        <v>31</v>
      </c>
      <c r="AL40" s="71" t="s">
        <v>31</v>
      </c>
      <c r="AM40" s="71">
        <v>1.34</v>
      </c>
      <c r="AN40" s="82">
        <v>1.47</v>
      </c>
      <c r="AO40" s="71" t="s">
        <v>31</v>
      </c>
      <c r="AP40" s="71" t="s">
        <v>31</v>
      </c>
      <c r="AQ40" s="71" t="s">
        <v>31</v>
      </c>
      <c r="AR40" s="71" t="s">
        <v>31</v>
      </c>
      <c r="AS40" s="71" t="s">
        <v>31</v>
      </c>
      <c r="AT40" s="71">
        <v>1.5</v>
      </c>
      <c r="AU40" s="71">
        <v>1.34</v>
      </c>
      <c r="AV40" s="71" t="s">
        <v>31</v>
      </c>
      <c r="AW40" s="71" t="s">
        <v>31</v>
      </c>
      <c r="AX40" s="71" t="s">
        <v>31</v>
      </c>
      <c r="AY40" s="71" t="s">
        <v>31</v>
      </c>
      <c r="AZ40" s="71" t="s">
        <v>31</v>
      </c>
      <c r="BA40" s="71">
        <v>1.5</v>
      </c>
      <c r="BB40" s="74"/>
      <c r="BC40" s="69"/>
    </row>
    <row r="41" spans="1:55" x14ac:dyDescent="0.2">
      <c r="A41" s="71">
        <v>50</v>
      </c>
      <c r="B41" s="71" t="s">
        <v>31</v>
      </c>
      <c r="C41" s="71" t="s">
        <v>31</v>
      </c>
      <c r="D41" s="71" t="s">
        <v>31</v>
      </c>
      <c r="E41" s="71" t="s">
        <v>31</v>
      </c>
      <c r="F41" s="71">
        <v>1.5</v>
      </c>
      <c r="G41" s="71" t="s">
        <v>31</v>
      </c>
      <c r="H41" s="76">
        <v>1.5</v>
      </c>
      <c r="I41" s="71" t="s">
        <v>31</v>
      </c>
      <c r="J41" s="71" t="s">
        <v>31</v>
      </c>
      <c r="K41" s="71" t="s">
        <v>31</v>
      </c>
      <c r="L41" s="71" t="s">
        <v>31</v>
      </c>
      <c r="M41" s="71" t="s">
        <v>31</v>
      </c>
      <c r="N41" s="71" t="s">
        <v>31</v>
      </c>
      <c r="O41" s="71">
        <v>1.89</v>
      </c>
      <c r="P41" s="71" t="s">
        <v>31</v>
      </c>
      <c r="Q41" s="71">
        <v>1.4</v>
      </c>
      <c r="R41" s="71" t="s">
        <v>31</v>
      </c>
      <c r="S41" s="71" t="s">
        <v>31</v>
      </c>
      <c r="T41" s="71" t="s">
        <v>31</v>
      </c>
      <c r="U41" s="71" t="s">
        <v>31</v>
      </c>
      <c r="V41" s="71" t="s">
        <v>31</v>
      </c>
      <c r="W41" s="71" t="s">
        <v>31</v>
      </c>
      <c r="X41" s="71" t="s">
        <v>31</v>
      </c>
      <c r="Y41" s="71" t="s">
        <v>31</v>
      </c>
      <c r="Z41" s="71" t="s">
        <v>31</v>
      </c>
      <c r="AA41" s="71" t="s">
        <v>31</v>
      </c>
      <c r="AB41" s="71" t="s">
        <v>31</v>
      </c>
      <c r="AC41" s="71" t="s">
        <v>31</v>
      </c>
      <c r="AD41" s="71" t="s">
        <v>31</v>
      </c>
      <c r="AE41" s="71" t="s">
        <v>31</v>
      </c>
      <c r="AF41" s="71" t="s">
        <v>31</v>
      </c>
      <c r="AG41" s="85">
        <v>1.06</v>
      </c>
      <c r="AH41" s="71" t="s">
        <v>31</v>
      </c>
      <c r="AI41" s="73" t="s">
        <v>31</v>
      </c>
      <c r="AJ41" s="73" t="s">
        <v>31</v>
      </c>
      <c r="AK41" s="71" t="s">
        <v>31</v>
      </c>
      <c r="AL41" s="71" t="s">
        <v>31</v>
      </c>
      <c r="AM41" s="71">
        <v>1.34</v>
      </c>
      <c r="AN41" s="82">
        <v>1.47</v>
      </c>
      <c r="AO41" s="71" t="s">
        <v>31</v>
      </c>
      <c r="AP41" s="71" t="s">
        <v>31</v>
      </c>
      <c r="AQ41" s="71" t="s">
        <v>31</v>
      </c>
      <c r="AR41" s="71" t="s">
        <v>31</v>
      </c>
      <c r="AS41" s="71" t="s">
        <v>31</v>
      </c>
      <c r="AT41" s="71">
        <v>1.5</v>
      </c>
      <c r="AU41" s="71">
        <v>1.34</v>
      </c>
      <c r="AV41" s="71" t="s">
        <v>31</v>
      </c>
      <c r="AW41" s="71" t="s">
        <v>31</v>
      </c>
      <c r="AX41" s="71" t="s">
        <v>31</v>
      </c>
      <c r="AY41" s="71" t="s">
        <v>31</v>
      </c>
      <c r="AZ41" s="71" t="s">
        <v>31</v>
      </c>
      <c r="BA41" s="71">
        <v>1.5</v>
      </c>
      <c r="BB41" s="74"/>
      <c r="BC41" s="69"/>
    </row>
    <row r="42" spans="1:55" x14ac:dyDescent="0.2">
      <c r="A42" s="71">
        <v>50.1</v>
      </c>
      <c r="B42" s="71" t="s">
        <v>31</v>
      </c>
      <c r="C42" s="71" t="s">
        <v>31</v>
      </c>
      <c r="D42" s="71" t="s">
        <v>31</v>
      </c>
      <c r="E42" s="71" t="s">
        <v>31</v>
      </c>
      <c r="F42" s="71" t="s">
        <v>31</v>
      </c>
      <c r="G42" s="71" t="s">
        <v>31</v>
      </c>
      <c r="H42" s="71" t="s">
        <v>31</v>
      </c>
      <c r="I42" s="71" t="s">
        <v>31</v>
      </c>
      <c r="J42" s="71" t="s">
        <v>31</v>
      </c>
      <c r="K42" s="71" t="s">
        <v>31</v>
      </c>
      <c r="L42" s="71" t="s">
        <v>31</v>
      </c>
      <c r="M42" s="71" t="s">
        <v>31</v>
      </c>
      <c r="N42" s="71" t="s">
        <v>31</v>
      </c>
      <c r="O42" s="71" t="s">
        <v>31</v>
      </c>
      <c r="P42" s="71" t="s">
        <v>31</v>
      </c>
      <c r="Q42" s="71" t="s">
        <v>31</v>
      </c>
      <c r="R42" s="71" t="s">
        <v>31</v>
      </c>
      <c r="S42" s="71" t="s">
        <v>31</v>
      </c>
      <c r="T42" s="71" t="s">
        <v>31</v>
      </c>
      <c r="U42" s="71" t="s">
        <v>31</v>
      </c>
      <c r="V42" s="71" t="s">
        <v>31</v>
      </c>
      <c r="W42" s="71" t="s">
        <v>31</v>
      </c>
      <c r="X42" s="71" t="s">
        <v>31</v>
      </c>
      <c r="Y42" s="71" t="s">
        <v>31</v>
      </c>
      <c r="Z42" s="71" t="s">
        <v>31</v>
      </c>
      <c r="AA42" s="71" t="s">
        <v>31</v>
      </c>
      <c r="AB42" s="71" t="s">
        <v>31</v>
      </c>
      <c r="AC42" s="71" t="s">
        <v>31</v>
      </c>
      <c r="AD42" s="71" t="s">
        <v>31</v>
      </c>
      <c r="AE42" s="71" t="s">
        <v>31</v>
      </c>
      <c r="AF42" s="71" t="s">
        <v>31</v>
      </c>
      <c r="AG42" s="85">
        <v>1.06</v>
      </c>
      <c r="AH42" s="71" t="s">
        <v>31</v>
      </c>
      <c r="AI42" s="73" t="s">
        <v>31</v>
      </c>
      <c r="AJ42" s="73" t="s">
        <v>31</v>
      </c>
      <c r="AK42" s="71" t="s">
        <v>31</v>
      </c>
      <c r="AL42" s="71" t="s">
        <v>31</v>
      </c>
      <c r="AM42" s="71" t="s">
        <v>31</v>
      </c>
      <c r="AN42" s="82">
        <v>1.47</v>
      </c>
      <c r="AO42" s="71" t="s">
        <v>31</v>
      </c>
      <c r="AP42" s="71" t="s">
        <v>31</v>
      </c>
      <c r="AQ42" s="71" t="s">
        <v>31</v>
      </c>
      <c r="AR42" s="71" t="s">
        <v>31</v>
      </c>
      <c r="AS42" s="71" t="s">
        <v>31</v>
      </c>
      <c r="AT42" s="71" t="s">
        <v>31</v>
      </c>
      <c r="AU42" s="71" t="s">
        <v>31</v>
      </c>
      <c r="AV42" s="71" t="s">
        <v>31</v>
      </c>
      <c r="AW42" s="71" t="s">
        <v>31</v>
      </c>
      <c r="AX42" s="71" t="s">
        <v>31</v>
      </c>
      <c r="AY42" s="71" t="s">
        <v>31</v>
      </c>
      <c r="AZ42" s="71" t="s">
        <v>31</v>
      </c>
      <c r="BA42" s="71" t="s">
        <v>31</v>
      </c>
      <c r="BB42" s="74"/>
      <c r="BC42" s="69"/>
    </row>
    <row r="43" spans="1:55" x14ac:dyDescent="0.2">
      <c r="A43" s="71">
        <v>60</v>
      </c>
      <c r="B43" s="71" t="s">
        <v>31</v>
      </c>
      <c r="C43" s="71" t="s">
        <v>31</v>
      </c>
      <c r="D43" s="71" t="s">
        <v>31</v>
      </c>
      <c r="E43" s="71" t="s">
        <v>31</v>
      </c>
      <c r="F43" s="71" t="s">
        <v>31</v>
      </c>
      <c r="G43" s="71" t="s">
        <v>31</v>
      </c>
      <c r="H43" s="71" t="s">
        <v>31</v>
      </c>
      <c r="I43" s="71" t="s">
        <v>31</v>
      </c>
      <c r="J43" s="71" t="s">
        <v>31</v>
      </c>
      <c r="K43" s="71" t="s">
        <v>31</v>
      </c>
      <c r="L43" s="71" t="s">
        <v>31</v>
      </c>
      <c r="M43" s="71" t="s">
        <v>31</v>
      </c>
      <c r="N43" s="71" t="s">
        <v>31</v>
      </c>
      <c r="O43" s="71" t="s">
        <v>31</v>
      </c>
      <c r="P43" s="71" t="s">
        <v>31</v>
      </c>
      <c r="Q43" s="71" t="s">
        <v>31</v>
      </c>
      <c r="R43" s="71" t="s">
        <v>31</v>
      </c>
      <c r="S43" s="71" t="s">
        <v>31</v>
      </c>
      <c r="T43" s="71" t="s">
        <v>31</v>
      </c>
      <c r="U43" s="71" t="s">
        <v>31</v>
      </c>
      <c r="V43" s="71" t="s">
        <v>31</v>
      </c>
      <c r="W43" s="71" t="s">
        <v>31</v>
      </c>
      <c r="X43" s="71" t="s">
        <v>31</v>
      </c>
      <c r="Y43" s="71" t="s">
        <v>31</v>
      </c>
      <c r="Z43" s="71" t="s">
        <v>31</v>
      </c>
      <c r="AA43" s="71" t="s">
        <v>31</v>
      </c>
      <c r="AB43" s="71" t="s">
        <v>31</v>
      </c>
      <c r="AC43" s="71" t="s">
        <v>31</v>
      </c>
      <c r="AD43" s="71" t="s">
        <v>31</v>
      </c>
      <c r="AE43" s="71" t="s">
        <v>31</v>
      </c>
      <c r="AF43" s="71" t="s">
        <v>31</v>
      </c>
      <c r="AG43" s="85">
        <v>1.06</v>
      </c>
      <c r="AH43" s="71" t="s">
        <v>31</v>
      </c>
      <c r="AI43" s="77">
        <v>1.06</v>
      </c>
      <c r="AJ43" s="77">
        <v>1.28</v>
      </c>
      <c r="AK43" s="71" t="s">
        <v>31</v>
      </c>
      <c r="AL43" s="71" t="s">
        <v>31</v>
      </c>
      <c r="AM43" s="71" t="s">
        <v>31</v>
      </c>
      <c r="AN43" s="82">
        <v>1.47</v>
      </c>
      <c r="AO43" s="71" t="s">
        <v>31</v>
      </c>
      <c r="AP43" s="71" t="s">
        <v>31</v>
      </c>
      <c r="AQ43" s="71" t="s">
        <v>31</v>
      </c>
      <c r="AR43" s="71" t="s">
        <v>31</v>
      </c>
      <c r="AS43" s="71" t="s">
        <v>31</v>
      </c>
      <c r="AT43" s="71" t="s">
        <v>31</v>
      </c>
      <c r="AU43" s="71" t="s">
        <v>31</v>
      </c>
      <c r="AV43" s="71" t="s">
        <v>31</v>
      </c>
      <c r="AW43" s="71" t="s">
        <v>31</v>
      </c>
      <c r="AX43" s="71" t="s">
        <v>31</v>
      </c>
      <c r="AY43" s="71" t="s">
        <v>31</v>
      </c>
      <c r="AZ43" s="71" t="s">
        <v>31</v>
      </c>
      <c r="BA43" s="71" t="s">
        <v>31</v>
      </c>
      <c r="BB43" s="74"/>
      <c r="BC43" s="69"/>
    </row>
    <row r="44" spans="1:55" x14ac:dyDescent="0.2">
      <c r="A44" s="71">
        <v>67</v>
      </c>
      <c r="B44" s="71" t="s">
        <v>31</v>
      </c>
      <c r="C44" s="71" t="s">
        <v>31</v>
      </c>
      <c r="D44" s="71" t="s">
        <v>31</v>
      </c>
      <c r="E44" s="71" t="s">
        <v>31</v>
      </c>
      <c r="F44" s="71" t="s">
        <v>31</v>
      </c>
      <c r="G44" s="71" t="s">
        <v>31</v>
      </c>
      <c r="H44" s="71" t="s">
        <v>31</v>
      </c>
      <c r="I44" s="71" t="s">
        <v>31</v>
      </c>
      <c r="J44" s="71" t="s">
        <v>31</v>
      </c>
      <c r="K44" s="71" t="s">
        <v>31</v>
      </c>
      <c r="L44" s="71" t="s">
        <v>31</v>
      </c>
      <c r="M44" s="71" t="s">
        <v>31</v>
      </c>
      <c r="N44" s="71" t="s">
        <v>31</v>
      </c>
      <c r="O44" s="71" t="s">
        <v>31</v>
      </c>
      <c r="P44" s="71" t="s">
        <v>31</v>
      </c>
      <c r="Q44" s="71" t="s">
        <v>31</v>
      </c>
      <c r="R44" s="71" t="s">
        <v>31</v>
      </c>
      <c r="S44" s="71" t="s">
        <v>31</v>
      </c>
      <c r="T44" s="71" t="s">
        <v>31</v>
      </c>
      <c r="U44" s="71" t="s">
        <v>31</v>
      </c>
      <c r="V44" s="71" t="s">
        <v>31</v>
      </c>
      <c r="W44" s="71" t="s">
        <v>31</v>
      </c>
      <c r="X44" s="71" t="s">
        <v>31</v>
      </c>
      <c r="Y44" s="71" t="s">
        <v>31</v>
      </c>
      <c r="Z44" s="71" t="s">
        <v>31</v>
      </c>
      <c r="AA44" s="71" t="s">
        <v>31</v>
      </c>
      <c r="AB44" s="71" t="s">
        <v>31</v>
      </c>
      <c r="AC44" s="71" t="s">
        <v>31</v>
      </c>
      <c r="AD44" s="71" t="s">
        <v>31</v>
      </c>
      <c r="AE44" s="71" t="s">
        <v>31</v>
      </c>
      <c r="AF44" s="71" t="s">
        <v>31</v>
      </c>
      <c r="AG44" s="85">
        <v>1.06</v>
      </c>
      <c r="AH44" s="71" t="s">
        <v>31</v>
      </c>
      <c r="AI44" s="77">
        <v>1.06</v>
      </c>
      <c r="AJ44" s="77">
        <v>1.28</v>
      </c>
      <c r="AK44" s="71" t="s">
        <v>31</v>
      </c>
      <c r="AL44" s="71" t="s">
        <v>31</v>
      </c>
      <c r="AM44" s="71" t="s">
        <v>31</v>
      </c>
      <c r="AN44" s="82">
        <v>1.5</v>
      </c>
      <c r="AO44" s="71" t="s">
        <v>31</v>
      </c>
      <c r="AP44" s="71" t="s">
        <v>31</v>
      </c>
      <c r="AQ44" s="71" t="s">
        <v>31</v>
      </c>
      <c r="AR44" s="71" t="s">
        <v>31</v>
      </c>
      <c r="AS44" s="71" t="s">
        <v>31</v>
      </c>
      <c r="AT44" s="71" t="s">
        <v>31</v>
      </c>
      <c r="AU44" s="71" t="s">
        <v>31</v>
      </c>
      <c r="AV44" s="71" t="s">
        <v>31</v>
      </c>
      <c r="AW44" s="71" t="s">
        <v>31</v>
      </c>
      <c r="AX44" s="71" t="s">
        <v>31</v>
      </c>
      <c r="AY44" s="71" t="s">
        <v>31</v>
      </c>
      <c r="AZ44" s="71" t="s">
        <v>31</v>
      </c>
      <c r="BA44" s="71" t="s">
        <v>31</v>
      </c>
      <c r="BB44" s="86"/>
      <c r="BC44" s="69"/>
    </row>
    <row r="45" spans="1:55" x14ac:dyDescent="0.2">
      <c r="A45" s="71">
        <v>70</v>
      </c>
      <c r="B45" s="71" t="s">
        <v>31</v>
      </c>
      <c r="C45" s="71" t="s">
        <v>31</v>
      </c>
      <c r="D45" s="71" t="s">
        <v>31</v>
      </c>
      <c r="E45" s="71" t="s">
        <v>31</v>
      </c>
      <c r="F45" s="71" t="s">
        <v>31</v>
      </c>
      <c r="G45" s="71" t="s">
        <v>31</v>
      </c>
      <c r="H45" s="71" t="s">
        <v>31</v>
      </c>
      <c r="I45" s="71" t="s">
        <v>31</v>
      </c>
      <c r="J45" s="71" t="s">
        <v>31</v>
      </c>
      <c r="K45" s="71" t="s">
        <v>31</v>
      </c>
      <c r="L45" s="71" t="s">
        <v>31</v>
      </c>
      <c r="M45" s="71" t="s">
        <v>31</v>
      </c>
      <c r="N45" s="71" t="s">
        <v>31</v>
      </c>
      <c r="O45" s="71" t="s">
        <v>31</v>
      </c>
      <c r="P45" s="71" t="s">
        <v>31</v>
      </c>
      <c r="Q45" s="71" t="s">
        <v>31</v>
      </c>
      <c r="R45" s="71" t="s">
        <v>31</v>
      </c>
      <c r="S45" s="71" t="s">
        <v>31</v>
      </c>
      <c r="T45" s="71" t="s">
        <v>31</v>
      </c>
      <c r="U45" s="71" t="s">
        <v>31</v>
      </c>
      <c r="V45" s="71" t="s">
        <v>31</v>
      </c>
      <c r="W45" s="71" t="s">
        <v>31</v>
      </c>
      <c r="X45" s="71" t="s">
        <v>31</v>
      </c>
      <c r="Y45" s="71" t="s">
        <v>31</v>
      </c>
      <c r="Z45" s="71" t="s">
        <v>31</v>
      </c>
      <c r="AA45" s="71" t="s">
        <v>31</v>
      </c>
      <c r="AB45" s="71" t="s">
        <v>31</v>
      </c>
      <c r="AC45" s="71" t="s">
        <v>31</v>
      </c>
      <c r="AD45" s="71" t="s">
        <v>31</v>
      </c>
      <c r="AE45" s="71" t="s">
        <v>31</v>
      </c>
      <c r="AF45" s="71" t="s">
        <v>31</v>
      </c>
      <c r="AG45" s="85">
        <v>1.06</v>
      </c>
      <c r="AH45" s="71" t="s">
        <v>31</v>
      </c>
      <c r="AI45" s="77">
        <v>1.06</v>
      </c>
      <c r="AJ45" s="77">
        <v>1.28</v>
      </c>
      <c r="AK45" s="71" t="s">
        <v>31</v>
      </c>
      <c r="AL45" s="71" t="s">
        <v>31</v>
      </c>
      <c r="AM45" s="71" t="s">
        <v>31</v>
      </c>
      <c r="AN45" s="82">
        <v>1.5</v>
      </c>
      <c r="AO45" s="71" t="s">
        <v>31</v>
      </c>
      <c r="AP45" s="71" t="s">
        <v>31</v>
      </c>
      <c r="AQ45" s="71" t="s">
        <v>31</v>
      </c>
      <c r="AR45" s="71" t="s">
        <v>31</v>
      </c>
      <c r="AS45" s="71" t="s">
        <v>31</v>
      </c>
      <c r="AT45" s="71" t="s">
        <v>31</v>
      </c>
      <c r="AU45" s="71" t="s">
        <v>31</v>
      </c>
      <c r="AV45" s="71" t="s">
        <v>31</v>
      </c>
      <c r="AW45" s="71" t="s">
        <v>31</v>
      </c>
      <c r="AX45" s="71" t="s">
        <v>31</v>
      </c>
      <c r="AY45" s="71" t="s">
        <v>31</v>
      </c>
      <c r="AZ45" s="71" t="s">
        <v>31</v>
      </c>
      <c r="BA45" s="71" t="s">
        <v>31</v>
      </c>
      <c r="BB45" s="86"/>
      <c r="BC45" s="69"/>
    </row>
    <row r="46" spans="1:55" x14ac:dyDescent="0.2">
      <c r="A46" s="71">
        <v>75</v>
      </c>
      <c r="B46" s="71" t="s">
        <v>31</v>
      </c>
      <c r="C46" s="71" t="s">
        <v>31</v>
      </c>
      <c r="D46" s="71" t="s">
        <v>31</v>
      </c>
      <c r="E46" s="71" t="s">
        <v>31</v>
      </c>
      <c r="F46" s="71" t="s">
        <v>31</v>
      </c>
      <c r="G46" s="71" t="s">
        <v>31</v>
      </c>
      <c r="H46" s="71" t="s">
        <v>31</v>
      </c>
      <c r="I46" s="71" t="s">
        <v>31</v>
      </c>
      <c r="J46" s="71" t="s">
        <v>31</v>
      </c>
      <c r="K46" s="71" t="s">
        <v>31</v>
      </c>
      <c r="L46" s="71" t="s">
        <v>31</v>
      </c>
      <c r="M46" s="71" t="s">
        <v>31</v>
      </c>
      <c r="N46" s="71" t="s">
        <v>31</v>
      </c>
      <c r="O46" s="71" t="s">
        <v>31</v>
      </c>
      <c r="P46" s="71" t="s">
        <v>31</v>
      </c>
      <c r="Q46" s="71" t="s">
        <v>31</v>
      </c>
      <c r="R46" s="71" t="s">
        <v>31</v>
      </c>
      <c r="S46" s="71" t="s">
        <v>31</v>
      </c>
      <c r="T46" s="71" t="s">
        <v>31</v>
      </c>
      <c r="U46" s="71" t="s">
        <v>31</v>
      </c>
      <c r="V46" s="71" t="s">
        <v>31</v>
      </c>
      <c r="W46" s="71" t="s">
        <v>31</v>
      </c>
      <c r="X46" s="71" t="s">
        <v>31</v>
      </c>
      <c r="Y46" s="71" t="s">
        <v>31</v>
      </c>
      <c r="Z46" s="71" t="s">
        <v>31</v>
      </c>
      <c r="AA46" s="71" t="s">
        <v>31</v>
      </c>
      <c r="AB46" s="71" t="s">
        <v>31</v>
      </c>
      <c r="AC46" s="71" t="s">
        <v>31</v>
      </c>
      <c r="AD46" s="71" t="s">
        <v>31</v>
      </c>
      <c r="AE46" s="71" t="s">
        <v>31</v>
      </c>
      <c r="AF46" s="71" t="s">
        <v>31</v>
      </c>
      <c r="AG46" s="85">
        <v>1.06</v>
      </c>
      <c r="AH46" s="85">
        <v>1.08</v>
      </c>
      <c r="AI46" s="77">
        <v>1.06</v>
      </c>
      <c r="AJ46" s="77">
        <v>1.28</v>
      </c>
      <c r="AK46" s="71" t="s">
        <v>31</v>
      </c>
      <c r="AL46" s="71" t="s">
        <v>31</v>
      </c>
      <c r="AM46" s="71" t="s">
        <v>31</v>
      </c>
      <c r="AN46" s="82" t="s">
        <v>31</v>
      </c>
      <c r="AO46" s="71" t="s">
        <v>31</v>
      </c>
      <c r="AP46" s="71" t="s">
        <v>31</v>
      </c>
      <c r="AQ46" s="71" t="s">
        <v>31</v>
      </c>
      <c r="AR46" s="71" t="s">
        <v>31</v>
      </c>
      <c r="AS46" s="71" t="s">
        <v>31</v>
      </c>
      <c r="AT46" s="71" t="s">
        <v>31</v>
      </c>
      <c r="AU46" s="71" t="s">
        <v>31</v>
      </c>
      <c r="AV46" s="71" t="s">
        <v>31</v>
      </c>
      <c r="AW46" s="71" t="s">
        <v>31</v>
      </c>
      <c r="AX46" s="71" t="s">
        <v>31</v>
      </c>
      <c r="AY46" s="71" t="s">
        <v>31</v>
      </c>
      <c r="AZ46" s="71" t="s">
        <v>31</v>
      </c>
      <c r="BA46" s="71" t="s">
        <v>31</v>
      </c>
      <c r="BB46" s="87"/>
      <c r="BC46" s="69"/>
    </row>
    <row r="47" spans="1:55" x14ac:dyDescent="0.2">
      <c r="A47" s="71">
        <v>75.099999999999994</v>
      </c>
      <c r="B47" s="71" t="s">
        <v>31</v>
      </c>
      <c r="C47" s="71" t="s">
        <v>31</v>
      </c>
      <c r="D47" s="71" t="s">
        <v>31</v>
      </c>
      <c r="E47" s="71" t="s">
        <v>31</v>
      </c>
      <c r="F47" s="71" t="s">
        <v>31</v>
      </c>
      <c r="G47" s="71" t="s">
        <v>31</v>
      </c>
      <c r="H47" s="71" t="s">
        <v>31</v>
      </c>
      <c r="I47" s="71" t="s">
        <v>31</v>
      </c>
      <c r="J47" s="71" t="s">
        <v>31</v>
      </c>
      <c r="K47" s="71" t="s">
        <v>31</v>
      </c>
      <c r="L47" s="71" t="s">
        <v>31</v>
      </c>
      <c r="M47" s="71" t="s">
        <v>31</v>
      </c>
      <c r="N47" s="71" t="s">
        <v>31</v>
      </c>
      <c r="O47" s="71" t="s">
        <v>31</v>
      </c>
      <c r="P47" s="71" t="s">
        <v>31</v>
      </c>
      <c r="Q47" s="71" t="s">
        <v>31</v>
      </c>
      <c r="R47" s="71" t="s">
        <v>31</v>
      </c>
      <c r="S47" s="71" t="s">
        <v>31</v>
      </c>
      <c r="T47" s="71" t="s">
        <v>31</v>
      </c>
      <c r="U47" s="71" t="s">
        <v>31</v>
      </c>
      <c r="V47" s="71" t="s">
        <v>31</v>
      </c>
      <c r="W47" s="71" t="s">
        <v>31</v>
      </c>
      <c r="X47" s="71" t="s">
        <v>31</v>
      </c>
      <c r="Y47" s="71" t="s">
        <v>31</v>
      </c>
      <c r="Z47" s="71" t="s">
        <v>31</v>
      </c>
      <c r="AA47" s="71" t="s">
        <v>31</v>
      </c>
      <c r="AB47" s="71" t="s">
        <v>31</v>
      </c>
      <c r="AC47" s="71" t="s">
        <v>31</v>
      </c>
      <c r="AD47" s="71" t="s">
        <v>31</v>
      </c>
      <c r="AE47" s="71" t="s">
        <v>31</v>
      </c>
      <c r="AF47" s="71" t="s">
        <v>31</v>
      </c>
      <c r="AG47" s="71" t="s">
        <v>31</v>
      </c>
      <c r="AH47" s="85">
        <v>1.08</v>
      </c>
      <c r="AI47" s="77">
        <v>1.06</v>
      </c>
      <c r="AJ47" s="77">
        <v>1.28</v>
      </c>
      <c r="AK47" s="71" t="s">
        <v>31</v>
      </c>
      <c r="AL47" s="71" t="s">
        <v>31</v>
      </c>
      <c r="AM47" s="71" t="s">
        <v>31</v>
      </c>
      <c r="AN47" s="82" t="s">
        <v>31</v>
      </c>
      <c r="AO47" s="71" t="s">
        <v>31</v>
      </c>
      <c r="AP47" s="71" t="s">
        <v>31</v>
      </c>
      <c r="AQ47" s="71" t="s">
        <v>31</v>
      </c>
      <c r="AR47" s="71" t="s">
        <v>31</v>
      </c>
      <c r="AS47" s="71" t="s">
        <v>31</v>
      </c>
      <c r="AT47" s="71" t="s">
        <v>31</v>
      </c>
      <c r="AU47" s="71" t="s">
        <v>31</v>
      </c>
      <c r="AV47" s="71" t="s">
        <v>31</v>
      </c>
      <c r="AW47" s="71" t="s">
        <v>31</v>
      </c>
      <c r="AX47" s="71" t="s">
        <v>31</v>
      </c>
      <c r="AY47" s="71" t="s">
        <v>31</v>
      </c>
      <c r="AZ47" s="71" t="s">
        <v>31</v>
      </c>
      <c r="BA47" s="71" t="s">
        <v>31</v>
      </c>
      <c r="BB47" s="87"/>
      <c r="BC47" s="69"/>
    </row>
    <row r="48" spans="1:55" x14ac:dyDescent="0.2">
      <c r="A48" s="71">
        <v>90</v>
      </c>
      <c r="B48" s="71" t="s">
        <v>31</v>
      </c>
      <c r="C48" s="71" t="s">
        <v>31</v>
      </c>
      <c r="D48" s="71" t="s">
        <v>31</v>
      </c>
      <c r="E48" s="71" t="s">
        <v>31</v>
      </c>
      <c r="F48" s="71" t="s">
        <v>31</v>
      </c>
      <c r="G48" s="71" t="s">
        <v>31</v>
      </c>
      <c r="H48" s="71" t="s">
        <v>31</v>
      </c>
      <c r="I48" s="71" t="s">
        <v>31</v>
      </c>
      <c r="J48" s="71" t="s">
        <v>31</v>
      </c>
      <c r="K48" s="71" t="s">
        <v>31</v>
      </c>
      <c r="L48" s="71" t="s">
        <v>31</v>
      </c>
      <c r="M48" s="71" t="s">
        <v>31</v>
      </c>
      <c r="N48" s="71" t="s">
        <v>31</v>
      </c>
      <c r="O48" s="71" t="s">
        <v>31</v>
      </c>
      <c r="P48" s="71" t="s">
        <v>31</v>
      </c>
      <c r="Q48" s="71" t="s">
        <v>31</v>
      </c>
      <c r="R48" s="71" t="s">
        <v>31</v>
      </c>
      <c r="S48" s="71" t="s">
        <v>31</v>
      </c>
      <c r="T48" s="71" t="s">
        <v>31</v>
      </c>
      <c r="U48" s="71" t="s">
        <v>31</v>
      </c>
      <c r="V48" s="71" t="s">
        <v>31</v>
      </c>
      <c r="W48" s="71" t="s">
        <v>31</v>
      </c>
      <c r="X48" s="71" t="s">
        <v>31</v>
      </c>
      <c r="Y48" s="71" t="s">
        <v>31</v>
      </c>
      <c r="Z48" s="71" t="s">
        <v>31</v>
      </c>
      <c r="AA48" s="71" t="s">
        <v>31</v>
      </c>
      <c r="AB48" s="71" t="s">
        <v>31</v>
      </c>
      <c r="AC48" s="71" t="s">
        <v>31</v>
      </c>
      <c r="AD48" s="71" t="s">
        <v>31</v>
      </c>
      <c r="AE48" s="71" t="s">
        <v>31</v>
      </c>
      <c r="AF48" s="71" t="s">
        <v>31</v>
      </c>
      <c r="AG48" s="71" t="s">
        <v>31</v>
      </c>
      <c r="AH48" s="85">
        <v>1.08</v>
      </c>
      <c r="AI48" s="77">
        <v>1.06</v>
      </c>
      <c r="AJ48" s="77">
        <v>1.28</v>
      </c>
      <c r="AK48" s="71" t="s">
        <v>31</v>
      </c>
      <c r="AL48" s="71" t="s">
        <v>31</v>
      </c>
      <c r="AM48" s="71" t="s">
        <v>31</v>
      </c>
      <c r="AN48" s="82" t="s">
        <v>31</v>
      </c>
      <c r="AO48" s="71" t="s">
        <v>31</v>
      </c>
      <c r="AP48" s="71" t="s">
        <v>31</v>
      </c>
      <c r="AQ48" s="71" t="s">
        <v>31</v>
      </c>
      <c r="AR48" s="71" t="s">
        <v>31</v>
      </c>
      <c r="AS48" s="71" t="s">
        <v>31</v>
      </c>
      <c r="AT48" s="71" t="s">
        <v>31</v>
      </c>
      <c r="AU48" s="71" t="s">
        <v>31</v>
      </c>
      <c r="AV48" s="71" t="s">
        <v>31</v>
      </c>
      <c r="AW48" s="71" t="s">
        <v>31</v>
      </c>
      <c r="AX48" s="71" t="s">
        <v>31</v>
      </c>
      <c r="AY48" s="71" t="s">
        <v>31</v>
      </c>
      <c r="AZ48" s="71" t="s">
        <v>31</v>
      </c>
      <c r="BA48" s="71" t="s">
        <v>31</v>
      </c>
      <c r="BB48" s="87"/>
      <c r="BC48" s="69"/>
    </row>
    <row r="49" spans="1:62" x14ac:dyDescent="0.2">
      <c r="A49" s="71">
        <v>110</v>
      </c>
      <c r="B49" s="71" t="s">
        <v>31</v>
      </c>
      <c r="C49" s="71" t="s">
        <v>31</v>
      </c>
      <c r="D49" s="71" t="s">
        <v>31</v>
      </c>
      <c r="E49" s="71" t="s">
        <v>31</v>
      </c>
      <c r="F49" s="71" t="s">
        <v>31</v>
      </c>
      <c r="G49" s="71" t="s">
        <v>31</v>
      </c>
      <c r="H49" s="71" t="s">
        <v>31</v>
      </c>
      <c r="I49" s="71" t="s">
        <v>31</v>
      </c>
      <c r="J49" s="71" t="s">
        <v>31</v>
      </c>
      <c r="K49" s="71" t="s">
        <v>31</v>
      </c>
      <c r="L49" s="71" t="s">
        <v>31</v>
      </c>
      <c r="M49" s="71" t="s">
        <v>31</v>
      </c>
      <c r="N49" s="71" t="s">
        <v>31</v>
      </c>
      <c r="O49" s="71" t="s">
        <v>31</v>
      </c>
      <c r="P49" s="71" t="s">
        <v>31</v>
      </c>
      <c r="Q49" s="71" t="s">
        <v>31</v>
      </c>
      <c r="R49" s="71" t="s">
        <v>31</v>
      </c>
      <c r="S49" s="71" t="s">
        <v>31</v>
      </c>
      <c r="T49" s="71" t="s">
        <v>31</v>
      </c>
      <c r="U49" s="71" t="s">
        <v>31</v>
      </c>
      <c r="V49" s="71" t="s">
        <v>31</v>
      </c>
      <c r="W49" s="71" t="s">
        <v>31</v>
      </c>
      <c r="X49" s="71" t="s">
        <v>31</v>
      </c>
      <c r="Y49" s="71" t="s">
        <v>31</v>
      </c>
      <c r="Z49" s="71" t="s">
        <v>31</v>
      </c>
      <c r="AA49" s="71" t="s">
        <v>31</v>
      </c>
      <c r="AB49" s="71" t="s">
        <v>31</v>
      </c>
      <c r="AC49" s="71" t="s">
        <v>31</v>
      </c>
      <c r="AD49" s="71" t="s">
        <v>31</v>
      </c>
      <c r="AE49" s="71" t="s">
        <v>31</v>
      </c>
      <c r="AF49" s="71" t="s">
        <v>31</v>
      </c>
      <c r="AG49" s="71" t="s">
        <v>31</v>
      </c>
      <c r="AH49" s="85">
        <v>1.08</v>
      </c>
      <c r="AI49" s="73" t="s">
        <v>31</v>
      </c>
      <c r="AJ49" s="73" t="s">
        <v>31</v>
      </c>
      <c r="AK49" s="71" t="s">
        <v>31</v>
      </c>
      <c r="AL49" s="71" t="s">
        <v>31</v>
      </c>
      <c r="AM49" s="71" t="s">
        <v>31</v>
      </c>
      <c r="AN49" s="82" t="s">
        <v>31</v>
      </c>
      <c r="AO49" s="71" t="s">
        <v>31</v>
      </c>
      <c r="AP49" s="71" t="s">
        <v>31</v>
      </c>
      <c r="AQ49" s="71" t="s">
        <v>31</v>
      </c>
      <c r="AR49" s="71" t="s">
        <v>31</v>
      </c>
      <c r="AS49" s="71" t="s">
        <v>31</v>
      </c>
      <c r="AT49" s="71" t="s">
        <v>31</v>
      </c>
      <c r="AU49" s="71" t="s">
        <v>31</v>
      </c>
      <c r="AV49" s="71" t="s">
        <v>31</v>
      </c>
      <c r="AW49" s="71" t="s">
        <v>31</v>
      </c>
      <c r="AX49" s="71" t="s">
        <v>31</v>
      </c>
      <c r="AY49" s="71" t="s">
        <v>31</v>
      </c>
      <c r="AZ49" s="71" t="s">
        <v>31</v>
      </c>
      <c r="BA49" s="71" t="s">
        <v>31</v>
      </c>
      <c r="BB49" s="87"/>
      <c r="BC49" s="69"/>
    </row>
    <row r="50" spans="1:62" x14ac:dyDescent="0.2">
      <c r="S50" s="60"/>
      <c r="T50" s="60"/>
      <c r="U50" s="60"/>
      <c r="V50" s="60"/>
      <c r="X50" s="58"/>
      <c r="Y50" s="58"/>
      <c r="Z50" s="58"/>
      <c r="AA50" s="58"/>
      <c r="BA50" s="69"/>
      <c r="BB50" s="69"/>
      <c r="BC50" s="69"/>
    </row>
    <row r="51" spans="1:62" x14ac:dyDescent="0.2">
      <c r="S51" s="60"/>
      <c r="T51" s="60"/>
      <c r="U51" s="60"/>
      <c r="V51" s="60"/>
      <c r="X51" s="58"/>
      <c r="Y51" s="58"/>
      <c r="Z51" s="58"/>
      <c r="AA51" s="58"/>
      <c r="BA51" s="69"/>
      <c r="BB51" s="69"/>
      <c r="BC51" s="69"/>
    </row>
    <row r="52" spans="1:62" x14ac:dyDescent="0.2">
      <c r="A52" s="59" t="s">
        <v>21</v>
      </c>
      <c r="S52" s="60"/>
      <c r="T52" s="60"/>
      <c r="U52" s="60"/>
      <c r="V52" s="60"/>
      <c r="X52" s="58"/>
      <c r="Y52" s="58"/>
      <c r="Z52" s="58"/>
      <c r="AA52" s="58"/>
      <c r="BA52" s="69"/>
      <c r="BB52" s="69"/>
      <c r="BC52" s="69"/>
    </row>
    <row r="53" spans="1:62" x14ac:dyDescent="0.2">
      <c r="A53" s="62" t="s">
        <v>5</v>
      </c>
      <c r="B53" s="65" t="s">
        <v>58</v>
      </c>
      <c r="C53" s="65" t="s">
        <v>59</v>
      </c>
      <c r="D53" s="65" t="s">
        <v>61</v>
      </c>
      <c r="E53" s="65" t="s">
        <v>60</v>
      </c>
      <c r="F53" s="66" t="s">
        <v>62</v>
      </c>
      <c r="G53" s="66" t="s">
        <v>63</v>
      </c>
      <c r="H53" s="66" t="s">
        <v>65</v>
      </c>
      <c r="I53" s="65" t="s">
        <v>67</v>
      </c>
      <c r="J53" s="65" t="s">
        <v>68</v>
      </c>
      <c r="K53" s="65" t="s">
        <v>74</v>
      </c>
      <c r="L53" s="65" t="s">
        <v>75</v>
      </c>
      <c r="M53" s="65" t="s">
        <v>69</v>
      </c>
      <c r="N53" s="65" t="s">
        <v>70</v>
      </c>
      <c r="O53" s="65" t="s">
        <v>71</v>
      </c>
      <c r="P53" s="65" t="s">
        <v>72</v>
      </c>
      <c r="Q53" s="65" t="s">
        <v>73</v>
      </c>
      <c r="R53" s="66" t="s">
        <v>78</v>
      </c>
      <c r="S53" s="66" t="s">
        <v>79</v>
      </c>
      <c r="T53" s="66" t="s">
        <v>80</v>
      </c>
      <c r="U53" s="66" t="s">
        <v>81</v>
      </c>
      <c r="V53" s="66" t="s">
        <v>82</v>
      </c>
      <c r="W53" s="66" t="s">
        <v>83</v>
      </c>
      <c r="X53" s="66" t="s">
        <v>84</v>
      </c>
      <c r="Y53" s="66" t="s">
        <v>85</v>
      </c>
      <c r="Z53" s="66" t="s">
        <v>86</v>
      </c>
      <c r="AA53" s="65" t="s">
        <v>48</v>
      </c>
      <c r="AB53" s="65" t="s">
        <v>49</v>
      </c>
      <c r="AC53" s="65" t="s">
        <v>50</v>
      </c>
      <c r="AD53" s="66" t="s">
        <v>54</v>
      </c>
      <c r="AE53" s="66" t="s">
        <v>55</v>
      </c>
      <c r="AF53" s="66" t="s">
        <v>56</v>
      </c>
      <c r="AG53" s="66" t="s">
        <v>64</v>
      </c>
      <c r="AH53" s="66" t="s">
        <v>66</v>
      </c>
      <c r="AI53" s="66" t="s">
        <v>210</v>
      </c>
      <c r="AJ53" s="66" t="s">
        <v>211</v>
      </c>
      <c r="AK53" s="65" t="s">
        <v>76</v>
      </c>
      <c r="AL53" s="65" t="s">
        <v>77</v>
      </c>
      <c r="AM53" s="66" t="s">
        <v>111</v>
      </c>
      <c r="AN53" s="67" t="s">
        <v>193</v>
      </c>
      <c r="AO53" s="66" t="s">
        <v>112</v>
      </c>
      <c r="AP53" s="66" t="s">
        <v>113</v>
      </c>
      <c r="AQ53" s="66" t="s">
        <v>114</v>
      </c>
      <c r="AR53" s="88" t="s">
        <v>115</v>
      </c>
      <c r="AS53" s="66" t="s">
        <v>116</v>
      </c>
      <c r="AT53" s="66" t="s">
        <v>117</v>
      </c>
      <c r="AU53" s="66" t="s">
        <v>118</v>
      </c>
      <c r="AV53" s="66" t="s">
        <v>119</v>
      </c>
      <c r="AW53" s="66" t="s">
        <v>120</v>
      </c>
      <c r="AX53" s="66" t="s">
        <v>121</v>
      </c>
      <c r="AY53" s="66" t="s">
        <v>122</v>
      </c>
      <c r="AZ53" s="66" t="s">
        <v>123</v>
      </c>
      <c r="BA53" s="89" t="s">
        <v>124</v>
      </c>
      <c r="BB53" s="69"/>
      <c r="BC53" s="69"/>
    </row>
    <row r="54" spans="1:62" x14ac:dyDescent="0.2">
      <c r="A54" s="90">
        <v>-70</v>
      </c>
      <c r="B54" s="71" t="s">
        <v>31</v>
      </c>
      <c r="C54" s="71" t="s">
        <v>31</v>
      </c>
      <c r="D54" s="71" t="s">
        <v>31</v>
      </c>
      <c r="E54" s="71" t="s">
        <v>31</v>
      </c>
      <c r="F54" s="71" t="s">
        <v>31</v>
      </c>
      <c r="G54" s="71" t="s">
        <v>31</v>
      </c>
      <c r="H54" s="71" t="s">
        <v>31</v>
      </c>
      <c r="I54" s="71" t="s">
        <v>31</v>
      </c>
      <c r="J54" s="71" t="s">
        <v>31</v>
      </c>
      <c r="K54" s="71" t="s">
        <v>31</v>
      </c>
      <c r="L54" s="71" t="s">
        <v>31</v>
      </c>
      <c r="M54" s="91">
        <v>0</v>
      </c>
      <c r="N54" s="91">
        <v>0</v>
      </c>
      <c r="O54" s="91">
        <v>0</v>
      </c>
      <c r="P54" s="91">
        <v>0</v>
      </c>
      <c r="Q54" s="91">
        <v>0</v>
      </c>
      <c r="R54" s="92">
        <v>0.03</v>
      </c>
      <c r="S54" s="92">
        <v>0.03</v>
      </c>
      <c r="T54" s="71" t="s">
        <v>31</v>
      </c>
      <c r="U54" s="71" t="s">
        <v>31</v>
      </c>
      <c r="V54" s="71" t="s">
        <v>31</v>
      </c>
      <c r="W54" s="71" t="s">
        <v>31</v>
      </c>
      <c r="X54" s="71" t="s">
        <v>31</v>
      </c>
      <c r="Y54" s="71" t="s">
        <v>31</v>
      </c>
      <c r="Z54" s="71" t="s">
        <v>31</v>
      </c>
      <c r="AA54" s="71" t="s">
        <v>31</v>
      </c>
      <c r="AB54" s="71" t="s">
        <v>31</v>
      </c>
      <c r="AC54" s="71" t="s">
        <v>31</v>
      </c>
      <c r="AD54" s="71" t="s">
        <v>31</v>
      </c>
      <c r="AE54" s="71" t="s">
        <v>31</v>
      </c>
      <c r="AF54" s="71" t="s">
        <v>31</v>
      </c>
      <c r="AG54" s="71" t="s">
        <v>31</v>
      </c>
      <c r="AH54" s="71" t="s">
        <v>31</v>
      </c>
      <c r="AI54" s="71" t="s">
        <v>31</v>
      </c>
      <c r="AJ54" s="71" t="s">
        <v>31</v>
      </c>
      <c r="AK54" s="71" t="s">
        <v>31</v>
      </c>
      <c r="AL54" s="93">
        <v>0</v>
      </c>
      <c r="AM54" s="71" t="s">
        <v>31</v>
      </c>
      <c r="AN54" s="78" t="s">
        <v>31</v>
      </c>
      <c r="AO54" s="71" t="s">
        <v>31</v>
      </c>
      <c r="AP54" s="71" t="s">
        <v>31</v>
      </c>
      <c r="AQ54" s="71" t="s">
        <v>31</v>
      </c>
      <c r="AR54" s="71" t="s">
        <v>31</v>
      </c>
      <c r="AS54" s="71" t="s">
        <v>31</v>
      </c>
      <c r="AT54" s="71" t="s">
        <v>31</v>
      </c>
      <c r="AU54" s="71" t="s">
        <v>31</v>
      </c>
      <c r="AV54" s="71" t="s">
        <v>31</v>
      </c>
      <c r="AW54" s="71" t="s">
        <v>31</v>
      </c>
      <c r="AX54" s="71" t="s">
        <v>31</v>
      </c>
      <c r="AY54" s="71" t="s">
        <v>31</v>
      </c>
      <c r="AZ54" s="71" t="s">
        <v>31</v>
      </c>
      <c r="BA54" s="71" t="s">
        <v>31</v>
      </c>
    </row>
    <row r="55" spans="1:62" x14ac:dyDescent="0.2">
      <c r="A55" s="90">
        <v>-60</v>
      </c>
      <c r="B55" s="71" t="s">
        <v>31</v>
      </c>
      <c r="C55" s="71" t="s">
        <v>31</v>
      </c>
      <c r="D55" s="71" t="s">
        <v>31</v>
      </c>
      <c r="E55" s="71" t="s">
        <v>31</v>
      </c>
      <c r="F55" s="71" t="s">
        <v>31</v>
      </c>
      <c r="G55" s="71" t="s">
        <v>31</v>
      </c>
      <c r="H55" s="71" t="s">
        <v>31</v>
      </c>
      <c r="I55" s="71" t="s">
        <v>31</v>
      </c>
      <c r="J55" s="71" t="s">
        <v>31</v>
      </c>
      <c r="K55" s="71" t="s">
        <v>31</v>
      </c>
      <c r="L55" s="71" t="s">
        <v>31</v>
      </c>
      <c r="M55" s="91">
        <v>0</v>
      </c>
      <c r="N55" s="91">
        <v>0</v>
      </c>
      <c r="O55" s="91">
        <v>0</v>
      </c>
      <c r="P55" s="91">
        <v>0</v>
      </c>
      <c r="Q55" s="91">
        <v>0</v>
      </c>
      <c r="R55" s="92">
        <v>0.03</v>
      </c>
      <c r="S55" s="92">
        <v>0.03</v>
      </c>
      <c r="T55" s="92">
        <v>0.03</v>
      </c>
      <c r="U55" s="92">
        <v>0.03</v>
      </c>
      <c r="V55" s="92">
        <v>0.03</v>
      </c>
      <c r="W55" s="71" t="s">
        <v>31</v>
      </c>
      <c r="X55" s="71" t="s">
        <v>31</v>
      </c>
      <c r="Y55" s="71" t="s">
        <v>31</v>
      </c>
      <c r="Z55" s="71" t="s">
        <v>31</v>
      </c>
      <c r="AA55" s="71" t="s">
        <v>31</v>
      </c>
      <c r="AB55" s="71" t="s">
        <v>31</v>
      </c>
      <c r="AC55" s="71" t="s">
        <v>31</v>
      </c>
      <c r="AD55" s="71" t="s">
        <v>31</v>
      </c>
      <c r="AE55" s="71" t="s">
        <v>31</v>
      </c>
      <c r="AF55" s="71" t="s">
        <v>31</v>
      </c>
      <c r="AG55" s="71" t="s">
        <v>31</v>
      </c>
      <c r="AH55" s="71" t="s">
        <v>31</v>
      </c>
      <c r="AI55" s="71" t="s">
        <v>31</v>
      </c>
      <c r="AJ55" s="94">
        <v>1.4999999999999999E-2</v>
      </c>
      <c r="AK55" s="71" t="s">
        <v>31</v>
      </c>
      <c r="AL55" s="93">
        <v>0</v>
      </c>
      <c r="AM55" s="71" t="s">
        <v>31</v>
      </c>
      <c r="AN55" s="78" t="s">
        <v>31</v>
      </c>
      <c r="AO55" s="71" t="s">
        <v>31</v>
      </c>
      <c r="AP55" s="71" t="s">
        <v>31</v>
      </c>
      <c r="AQ55" s="71" t="s">
        <v>31</v>
      </c>
      <c r="AR55" s="71" t="s">
        <v>31</v>
      </c>
      <c r="AS55" s="71" t="s">
        <v>31</v>
      </c>
      <c r="AT55" s="71" t="s">
        <v>31</v>
      </c>
      <c r="AU55" s="71" t="s">
        <v>31</v>
      </c>
      <c r="AV55" s="71" t="s">
        <v>31</v>
      </c>
      <c r="AW55" s="71" t="s">
        <v>31</v>
      </c>
      <c r="AX55" s="71" t="s">
        <v>31</v>
      </c>
      <c r="AY55" s="71" t="s">
        <v>31</v>
      </c>
      <c r="AZ55" s="71" t="s">
        <v>31</v>
      </c>
      <c r="BA55" s="71" t="s">
        <v>31</v>
      </c>
    </row>
    <row r="56" spans="1:62" x14ac:dyDescent="0.2">
      <c r="A56" s="90">
        <v>-50</v>
      </c>
      <c r="B56" s="71" t="s">
        <v>31</v>
      </c>
      <c r="C56" s="71" t="s">
        <v>31</v>
      </c>
      <c r="D56" s="71" t="s">
        <v>31</v>
      </c>
      <c r="E56" s="71" t="s">
        <v>31</v>
      </c>
      <c r="F56" s="71" t="s">
        <v>31</v>
      </c>
      <c r="G56" s="71" t="s">
        <v>31</v>
      </c>
      <c r="H56" s="71" t="s">
        <v>31</v>
      </c>
      <c r="I56" s="71" t="s">
        <v>31</v>
      </c>
      <c r="J56" s="71" t="s">
        <v>31</v>
      </c>
      <c r="K56" s="71" t="s">
        <v>31</v>
      </c>
      <c r="L56" s="71" t="s">
        <v>31</v>
      </c>
      <c r="M56" s="91">
        <v>0</v>
      </c>
      <c r="N56" s="91">
        <v>0</v>
      </c>
      <c r="O56" s="91">
        <v>0</v>
      </c>
      <c r="P56" s="91">
        <v>0</v>
      </c>
      <c r="Q56" s="91">
        <v>0</v>
      </c>
      <c r="R56" s="92">
        <v>0.03</v>
      </c>
      <c r="S56" s="92">
        <v>0.03</v>
      </c>
      <c r="T56" s="92">
        <v>0.03</v>
      </c>
      <c r="U56" s="92">
        <v>0.03</v>
      </c>
      <c r="V56" s="92">
        <v>0.03</v>
      </c>
      <c r="W56" s="71" t="s">
        <v>31</v>
      </c>
      <c r="X56" s="71" t="s">
        <v>31</v>
      </c>
      <c r="Y56" s="93">
        <v>0.04</v>
      </c>
      <c r="Z56" s="93">
        <v>0.04</v>
      </c>
      <c r="AA56" s="71" t="s">
        <v>31</v>
      </c>
      <c r="AB56" s="71" t="s">
        <v>31</v>
      </c>
      <c r="AC56" s="71" t="s">
        <v>31</v>
      </c>
      <c r="AD56" s="71" t="s">
        <v>31</v>
      </c>
      <c r="AE56" s="71" t="s">
        <v>31</v>
      </c>
      <c r="AF56" s="71" t="s">
        <v>31</v>
      </c>
      <c r="AG56" s="71" t="s">
        <v>31</v>
      </c>
      <c r="AH56" s="71" t="s">
        <v>31</v>
      </c>
      <c r="AI56" s="71" t="s">
        <v>31</v>
      </c>
      <c r="AJ56" s="94">
        <v>1.4999999999999999E-2</v>
      </c>
      <c r="AK56" s="71" t="s">
        <v>31</v>
      </c>
      <c r="AL56" s="93">
        <v>0</v>
      </c>
      <c r="AM56" s="71" t="s">
        <v>31</v>
      </c>
      <c r="AN56" s="78" t="s">
        <v>31</v>
      </c>
      <c r="AO56" s="71" t="s">
        <v>31</v>
      </c>
      <c r="AP56" s="71" t="s">
        <v>31</v>
      </c>
      <c r="AQ56" s="71" t="s">
        <v>31</v>
      </c>
      <c r="AR56" s="71" t="s">
        <v>31</v>
      </c>
      <c r="AS56" s="71" t="s">
        <v>31</v>
      </c>
      <c r="AT56" s="71" t="s">
        <v>31</v>
      </c>
      <c r="AU56" s="71" t="s">
        <v>31</v>
      </c>
      <c r="AV56" s="71" t="s">
        <v>31</v>
      </c>
      <c r="AW56" s="71" t="s">
        <v>31</v>
      </c>
      <c r="AX56" s="71" t="s">
        <v>31</v>
      </c>
      <c r="AY56" s="71" t="s">
        <v>31</v>
      </c>
      <c r="AZ56" s="71" t="s">
        <v>31</v>
      </c>
      <c r="BA56" s="71" t="s">
        <v>31</v>
      </c>
    </row>
    <row r="57" spans="1:62" x14ac:dyDescent="0.2">
      <c r="A57" s="95">
        <v>-35</v>
      </c>
      <c r="B57" s="71" t="s">
        <v>31</v>
      </c>
      <c r="C57" s="71" t="s">
        <v>31</v>
      </c>
      <c r="D57" s="71" t="s">
        <v>31</v>
      </c>
      <c r="E57" s="71" t="s">
        <v>31</v>
      </c>
      <c r="F57" s="71" t="s">
        <v>31</v>
      </c>
      <c r="G57" s="71" t="s">
        <v>31</v>
      </c>
      <c r="H57" s="71" t="s">
        <v>31</v>
      </c>
      <c r="I57" s="71" t="s">
        <v>31</v>
      </c>
      <c r="J57" s="71" t="s">
        <v>31</v>
      </c>
      <c r="K57" s="71" t="s">
        <v>31</v>
      </c>
      <c r="L57" s="71" t="s">
        <v>31</v>
      </c>
      <c r="M57" s="91">
        <v>0</v>
      </c>
      <c r="N57" s="91">
        <v>0</v>
      </c>
      <c r="O57" s="91">
        <v>0</v>
      </c>
      <c r="P57" s="91">
        <v>0</v>
      </c>
      <c r="Q57" s="91">
        <v>0</v>
      </c>
      <c r="R57" s="92">
        <v>0.03</v>
      </c>
      <c r="S57" s="92">
        <v>0.03</v>
      </c>
      <c r="T57" s="92">
        <v>0.03</v>
      </c>
      <c r="U57" s="92">
        <v>0.03</v>
      </c>
      <c r="V57" s="92">
        <v>0.03</v>
      </c>
      <c r="W57" s="71" t="s">
        <v>31</v>
      </c>
      <c r="X57" s="71" t="s">
        <v>31</v>
      </c>
      <c r="Y57" s="93">
        <v>0.04</v>
      </c>
      <c r="Z57" s="93">
        <v>0.04</v>
      </c>
      <c r="AA57" s="93">
        <v>0</v>
      </c>
      <c r="AB57" s="93">
        <v>0</v>
      </c>
      <c r="AC57" s="93">
        <v>0</v>
      </c>
      <c r="AD57" s="71" t="s">
        <v>31</v>
      </c>
      <c r="AE57" s="71" t="s">
        <v>31</v>
      </c>
      <c r="AF57" s="71" t="s">
        <v>31</v>
      </c>
      <c r="AG57" s="71" t="s">
        <v>31</v>
      </c>
      <c r="AH57" s="71" t="s">
        <v>31</v>
      </c>
      <c r="AI57" s="71" t="s">
        <v>31</v>
      </c>
      <c r="AJ57" s="94">
        <v>1.4999999999999999E-2</v>
      </c>
      <c r="AK57" s="71" t="s">
        <v>31</v>
      </c>
      <c r="AL57" s="93">
        <v>0</v>
      </c>
      <c r="AM57" s="93">
        <v>0</v>
      </c>
      <c r="AN57" s="96">
        <v>0</v>
      </c>
      <c r="AO57" s="71" t="s">
        <v>31</v>
      </c>
      <c r="AP57" s="71" t="s">
        <v>31</v>
      </c>
      <c r="AQ57" s="71" t="s">
        <v>31</v>
      </c>
      <c r="AR57" s="71" t="s">
        <v>31</v>
      </c>
      <c r="AS57" s="93">
        <v>0</v>
      </c>
      <c r="AT57" s="93">
        <v>0</v>
      </c>
      <c r="AU57" s="93">
        <v>0</v>
      </c>
      <c r="AV57" s="71" t="s">
        <v>31</v>
      </c>
      <c r="AW57" s="71" t="s">
        <v>31</v>
      </c>
      <c r="AX57" s="71" t="s">
        <v>31</v>
      </c>
      <c r="AY57" s="71" t="s">
        <v>31</v>
      </c>
      <c r="AZ57" s="93">
        <v>0</v>
      </c>
      <c r="BA57" s="93">
        <v>0</v>
      </c>
    </row>
    <row r="58" spans="1:62" x14ac:dyDescent="0.2">
      <c r="A58" s="63">
        <v>-30</v>
      </c>
      <c r="B58" s="97">
        <v>0</v>
      </c>
      <c r="C58" s="97">
        <v>0</v>
      </c>
      <c r="D58" s="97">
        <v>0</v>
      </c>
      <c r="E58" s="97">
        <v>0</v>
      </c>
      <c r="F58" s="97">
        <v>0</v>
      </c>
      <c r="G58" s="97">
        <v>0</v>
      </c>
      <c r="H58" s="97">
        <v>0</v>
      </c>
      <c r="I58" s="91" t="s">
        <v>31</v>
      </c>
      <c r="J58" s="91" t="s">
        <v>31</v>
      </c>
      <c r="K58" s="91" t="s">
        <v>31</v>
      </c>
      <c r="L58" s="91" t="s">
        <v>31</v>
      </c>
      <c r="M58" s="97">
        <v>0.01</v>
      </c>
      <c r="N58" s="98">
        <v>0.02</v>
      </c>
      <c r="O58" s="98">
        <v>0.02</v>
      </c>
      <c r="P58" s="98">
        <v>0.03</v>
      </c>
      <c r="Q58" s="98">
        <v>0.03</v>
      </c>
      <c r="R58" s="92">
        <v>0.03</v>
      </c>
      <c r="S58" s="92">
        <v>0.03</v>
      </c>
      <c r="T58" s="92">
        <v>0.03</v>
      </c>
      <c r="U58" s="92">
        <v>0.03</v>
      </c>
      <c r="V58" s="92">
        <v>0.03</v>
      </c>
      <c r="W58" s="92">
        <v>3.5000000000000003E-2</v>
      </c>
      <c r="X58" s="92">
        <v>3.5000000000000003E-2</v>
      </c>
      <c r="Y58" s="93">
        <v>0.04</v>
      </c>
      <c r="Z58" s="93">
        <v>0.04</v>
      </c>
      <c r="AA58" s="93">
        <v>0</v>
      </c>
      <c r="AB58" s="93">
        <v>0</v>
      </c>
      <c r="AC58" s="93">
        <v>0</v>
      </c>
      <c r="AD58" s="93">
        <v>0</v>
      </c>
      <c r="AE58" s="93">
        <v>0</v>
      </c>
      <c r="AF58" s="93">
        <v>0</v>
      </c>
      <c r="AG58" s="99">
        <v>0.01</v>
      </c>
      <c r="AH58" s="100">
        <v>0.02</v>
      </c>
      <c r="AI58" s="98">
        <v>0.01</v>
      </c>
      <c r="AJ58" s="98">
        <v>0.01</v>
      </c>
      <c r="AK58" s="97">
        <v>0</v>
      </c>
      <c r="AL58" s="98">
        <v>0.02</v>
      </c>
      <c r="AM58" s="93">
        <v>0</v>
      </c>
      <c r="AN58" s="96">
        <v>0</v>
      </c>
      <c r="AO58" s="71" t="s">
        <v>31</v>
      </c>
      <c r="AP58" s="71" t="s">
        <v>31</v>
      </c>
      <c r="AQ58" s="71" t="s">
        <v>31</v>
      </c>
      <c r="AR58" s="71" t="s">
        <v>31</v>
      </c>
      <c r="AS58" s="93">
        <v>0</v>
      </c>
      <c r="AT58" s="93">
        <v>0</v>
      </c>
      <c r="AU58" s="93">
        <v>0</v>
      </c>
      <c r="AV58" s="71" t="s">
        <v>31</v>
      </c>
      <c r="AW58" s="71" t="s">
        <v>31</v>
      </c>
      <c r="AX58" s="71" t="s">
        <v>31</v>
      </c>
      <c r="AY58" s="71" t="s">
        <v>31</v>
      </c>
      <c r="AZ58" s="93">
        <v>0</v>
      </c>
      <c r="BA58" s="93">
        <v>0</v>
      </c>
      <c r="BB58" s="69"/>
      <c r="BC58" s="69"/>
      <c r="BD58" s="69"/>
      <c r="BE58" s="69"/>
      <c r="BF58" s="69"/>
      <c r="BG58" s="69"/>
      <c r="BH58" s="69"/>
      <c r="BI58" s="69"/>
      <c r="BJ58" s="69"/>
    </row>
    <row r="59" spans="1:62" x14ac:dyDescent="0.2">
      <c r="A59" s="63">
        <v>-25</v>
      </c>
      <c r="B59" s="97">
        <v>0</v>
      </c>
      <c r="C59" s="97">
        <v>0</v>
      </c>
      <c r="D59" s="97">
        <v>0</v>
      </c>
      <c r="E59" s="97">
        <v>0</v>
      </c>
      <c r="F59" s="97">
        <v>0</v>
      </c>
      <c r="G59" s="97">
        <v>0</v>
      </c>
      <c r="H59" s="97">
        <v>0</v>
      </c>
      <c r="I59" s="91" t="s">
        <v>31</v>
      </c>
      <c r="J59" s="91" t="s">
        <v>31</v>
      </c>
      <c r="K59" s="91" t="s">
        <v>31</v>
      </c>
      <c r="L59" s="91" t="s">
        <v>31</v>
      </c>
      <c r="M59" s="97">
        <v>0.01</v>
      </c>
      <c r="N59" s="98">
        <v>0.02</v>
      </c>
      <c r="O59" s="98">
        <v>0.02</v>
      </c>
      <c r="P59" s="91">
        <v>0.05</v>
      </c>
      <c r="Q59" s="91">
        <v>0.05</v>
      </c>
      <c r="R59" s="92">
        <v>0.03</v>
      </c>
      <c r="S59" s="92">
        <v>0.03</v>
      </c>
      <c r="T59" s="92">
        <v>0.03</v>
      </c>
      <c r="U59" s="92">
        <v>0.03</v>
      </c>
      <c r="V59" s="92">
        <v>0.03</v>
      </c>
      <c r="W59" s="92">
        <v>3.5000000000000003E-2</v>
      </c>
      <c r="X59" s="92">
        <v>3.5000000000000003E-2</v>
      </c>
      <c r="Y59" s="93">
        <v>0.04</v>
      </c>
      <c r="Z59" s="93">
        <v>0.04</v>
      </c>
      <c r="AA59" s="93">
        <v>0</v>
      </c>
      <c r="AB59" s="93">
        <v>0</v>
      </c>
      <c r="AC59" s="93">
        <v>0</v>
      </c>
      <c r="AD59" s="93">
        <v>0</v>
      </c>
      <c r="AE59" s="93">
        <v>0</v>
      </c>
      <c r="AF59" s="93">
        <v>0</v>
      </c>
      <c r="AG59" s="99">
        <v>0.01</v>
      </c>
      <c r="AH59" s="100">
        <v>0.02</v>
      </c>
      <c r="AI59" s="98">
        <v>0.01</v>
      </c>
      <c r="AJ59" s="98">
        <v>0.01</v>
      </c>
      <c r="AK59" s="97">
        <v>0</v>
      </c>
      <c r="AL59" s="98">
        <v>0.02</v>
      </c>
      <c r="AM59" s="93">
        <v>0</v>
      </c>
      <c r="AN59" s="96">
        <v>0</v>
      </c>
      <c r="AO59" s="71" t="s">
        <v>31</v>
      </c>
      <c r="AP59" s="71" t="s">
        <v>31</v>
      </c>
      <c r="AQ59" s="71" t="s">
        <v>31</v>
      </c>
      <c r="AR59" s="71" t="s">
        <v>31</v>
      </c>
      <c r="AS59" s="93">
        <v>0</v>
      </c>
      <c r="AT59" s="93">
        <v>0</v>
      </c>
      <c r="AU59" s="93">
        <v>0</v>
      </c>
      <c r="AV59" s="71" t="s">
        <v>31</v>
      </c>
      <c r="AW59" s="71" t="s">
        <v>31</v>
      </c>
      <c r="AX59" s="71" t="s">
        <v>31</v>
      </c>
      <c r="AY59" s="71" t="s">
        <v>31</v>
      </c>
      <c r="AZ59" s="93">
        <v>0</v>
      </c>
      <c r="BA59" s="93">
        <v>0</v>
      </c>
      <c r="BB59" s="69"/>
      <c r="BC59" s="69"/>
      <c r="BD59" s="69"/>
      <c r="BE59" s="69"/>
      <c r="BF59" s="69"/>
      <c r="BG59" s="69"/>
      <c r="BH59" s="69"/>
      <c r="BI59" s="69"/>
      <c r="BJ59" s="69"/>
    </row>
    <row r="60" spans="1:62" x14ac:dyDescent="0.2">
      <c r="A60" s="63">
        <v>-20</v>
      </c>
      <c r="B60" s="97">
        <v>0</v>
      </c>
      <c r="C60" s="97">
        <v>0</v>
      </c>
      <c r="D60" s="97">
        <v>0</v>
      </c>
      <c r="E60" s="97">
        <v>0</v>
      </c>
      <c r="F60" s="97">
        <v>0</v>
      </c>
      <c r="G60" s="97">
        <v>0</v>
      </c>
      <c r="H60" s="97">
        <v>0</v>
      </c>
      <c r="I60" s="91" t="s">
        <v>31</v>
      </c>
      <c r="J60" s="91" t="s">
        <v>31</v>
      </c>
      <c r="K60" s="91" t="s">
        <v>31</v>
      </c>
      <c r="L60" s="91" t="s">
        <v>31</v>
      </c>
      <c r="M60" s="97">
        <v>0.01</v>
      </c>
      <c r="N60" s="98">
        <v>0.02</v>
      </c>
      <c r="O60" s="98">
        <v>0.02</v>
      </c>
      <c r="P60" s="98">
        <v>0.05</v>
      </c>
      <c r="Q60" s="98">
        <v>0.05</v>
      </c>
      <c r="R60" s="92">
        <v>0.03</v>
      </c>
      <c r="S60" s="92">
        <v>0.03</v>
      </c>
      <c r="T60" s="92">
        <v>0.03</v>
      </c>
      <c r="U60" s="92">
        <v>0.03</v>
      </c>
      <c r="V60" s="92">
        <v>0.03</v>
      </c>
      <c r="W60" s="92">
        <v>3.5000000000000003E-2</v>
      </c>
      <c r="X60" s="92">
        <v>3.5000000000000003E-2</v>
      </c>
      <c r="Y60" s="93">
        <v>0.04</v>
      </c>
      <c r="Z60" s="93">
        <v>0.04</v>
      </c>
      <c r="AA60" s="93">
        <v>0</v>
      </c>
      <c r="AB60" s="93">
        <v>0</v>
      </c>
      <c r="AC60" s="93">
        <v>0</v>
      </c>
      <c r="AD60" s="93">
        <v>0</v>
      </c>
      <c r="AE60" s="93">
        <v>0</v>
      </c>
      <c r="AF60" s="93">
        <v>0</v>
      </c>
      <c r="AG60" s="99">
        <v>0.01</v>
      </c>
      <c r="AH60" s="100">
        <v>0.02</v>
      </c>
      <c r="AI60" s="98">
        <v>0.01</v>
      </c>
      <c r="AJ60" s="98">
        <v>0.01</v>
      </c>
      <c r="AK60" s="97">
        <v>0</v>
      </c>
      <c r="AL60" s="98">
        <v>0.02</v>
      </c>
      <c r="AM60" s="93">
        <v>0</v>
      </c>
      <c r="AN60" s="96">
        <v>0</v>
      </c>
      <c r="AO60" s="71" t="s">
        <v>31</v>
      </c>
      <c r="AP60" s="71" t="s">
        <v>31</v>
      </c>
      <c r="AQ60" s="71" t="s">
        <v>31</v>
      </c>
      <c r="AR60" s="71" t="s">
        <v>31</v>
      </c>
      <c r="AS60" s="93">
        <v>0</v>
      </c>
      <c r="AT60" s="93">
        <v>0</v>
      </c>
      <c r="AU60" s="93">
        <v>0</v>
      </c>
      <c r="AV60" s="71" t="s">
        <v>31</v>
      </c>
      <c r="AW60" s="71" t="s">
        <v>31</v>
      </c>
      <c r="AX60" s="71" t="s">
        <v>31</v>
      </c>
      <c r="AY60" s="71" t="s">
        <v>31</v>
      </c>
      <c r="AZ60" s="93">
        <v>0</v>
      </c>
      <c r="BA60" s="93">
        <v>0</v>
      </c>
      <c r="BB60" s="69"/>
      <c r="BC60" s="69"/>
      <c r="BD60" s="69"/>
      <c r="BE60" s="69"/>
      <c r="BF60" s="69"/>
      <c r="BG60" s="69"/>
      <c r="BH60" s="69"/>
      <c r="BI60" s="69"/>
      <c r="BJ60" s="69"/>
    </row>
    <row r="61" spans="1:62" x14ac:dyDescent="0.2">
      <c r="A61" s="63">
        <v>-15</v>
      </c>
      <c r="B61" s="97">
        <v>0</v>
      </c>
      <c r="C61" s="97">
        <v>0</v>
      </c>
      <c r="D61" s="97">
        <v>0</v>
      </c>
      <c r="E61" s="97">
        <v>0</v>
      </c>
      <c r="F61" s="97">
        <v>0</v>
      </c>
      <c r="G61" s="97">
        <v>0</v>
      </c>
      <c r="H61" s="97">
        <v>0</v>
      </c>
      <c r="I61" s="91" t="s">
        <v>31</v>
      </c>
      <c r="J61" s="91" t="s">
        <v>31</v>
      </c>
      <c r="K61" s="91" t="s">
        <v>31</v>
      </c>
      <c r="L61" s="91" t="s">
        <v>31</v>
      </c>
      <c r="M61" s="97">
        <v>0.01</v>
      </c>
      <c r="N61" s="98">
        <v>0.02</v>
      </c>
      <c r="O61" s="98">
        <v>0.02</v>
      </c>
      <c r="P61" s="98">
        <v>0.05</v>
      </c>
      <c r="Q61" s="98">
        <v>0.05</v>
      </c>
      <c r="R61" s="92">
        <v>0.03</v>
      </c>
      <c r="S61" s="92">
        <v>0.03</v>
      </c>
      <c r="T61" s="92">
        <v>0.03</v>
      </c>
      <c r="U61" s="92">
        <v>0.03</v>
      </c>
      <c r="V61" s="92">
        <v>0.03</v>
      </c>
      <c r="W61" s="92">
        <v>3.5000000000000003E-2</v>
      </c>
      <c r="X61" s="92">
        <v>3.5000000000000003E-2</v>
      </c>
      <c r="Y61" s="93">
        <v>0.04</v>
      </c>
      <c r="Z61" s="93">
        <v>0.04</v>
      </c>
      <c r="AA61" s="93">
        <v>0</v>
      </c>
      <c r="AB61" s="93">
        <v>0</v>
      </c>
      <c r="AC61" s="93">
        <v>0</v>
      </c>
      <c r="AD61" s="93">
        <v>0</v>
      </c>
      <c r="AE61" s="93">
        <v>0</v>
      </c>
      <c r="AF61" s="93">
        <v>0</v>
      </c>
      <c r="AG61" s="99">
        <v>0.01</v>
      </c>
      <c r="AH61" s="100">
        <v>0.02</v>
      </c>
      <c r="AI61" s="98">
        <v>0.01</v>
      </c>
      <c r="AJ61" s="98">
        <v>0.01</v>
      </c>
      <c r="AK61" s="97">
        <v>0</v>
      </c>
      <c r="AL61" s="71" t="s">
        <v>31</v>
      </c>
      <c r="AM61" s="93">
        <v>0</v>
      </c>
      <c r="AN61" s="96">
        <v>0</v>
      </c>
      <c r="AO61" s="71" t="s">
        <v>31</v>
      </c>
      <c r="AP61" s="71" t="s">
        <v>31</v>
      </c>
      <c r="AQ61" s="97">
        <v>0</v>
      </c>
      <c r="AR61" s="97">
        <v>0</v>
      </c>
      <c r="AS61" s="93">
        <v>0</v>
      </c>
      <c r="AT61" s="93">
        <v>0</v>
      </c>
      <c r="AU61" s="93">
        <v>0</v>
      </c>
      <c r="AV61" s="71" t="s">
        <v>31</v>
      </c>
      <c r="AW61" s="71" t="s">
        <v>31</v>
      </c>
      <c r="AX61" s="97">
        <v>0</v>
      </c>
      <c r="AY61" s="97">
        <v>0</v>
      </c>
      <c r="AZ61" s="93">
        <v>0</v>
      </c>
      <c r="BA61" s="93">
        <v>0</v>
      </c>
      <c r="BB61" s="69"/>
      <c r="BC61" s="69"/>
      <c r="BD61" s="69"/>
      <c r="BE61" s="69"/>
      <c r="BF61" s="69"/>
      <c r="BG61" s="69"/>
      <c r="BH61" s="69"/>
      <c r="BI61" s="69"/>
      <c r="BJ61" s="69"/>
    </row>
    <row r="62" spans="1:62" x14ac:dyDescent="0.2">
      <c r="A62" s="63">
        <v>-10</v>
      </c>
      <c r="B62" s="97">
        <v>0</v>
      </c>
      <c r="C62" s="97">
        <v>0</v>
      </c>
      <c r="D62" s="97">
        <v>0</v>
      </c>
      <c r="E62" s="97">
        <v>0</v>
      </c>
      <c r="F62" s="97">
        <v>0</v>
      </c>
      <c r="G62" s="97">
        <v>0</v>
      </c>
      <c r="H62" s="97">
        <v>0</v>
      </c>
      <c r="I62" s="91" t="s">
        <v>31</v>
      </c>
      <c r="J62" s="91" t="s">
        <v>31</v>
      </c>
      <c r="K62" s="97">
        <v>0</v>
      </c>
      <c r="L62" s="97">
        <v>0</v>
      </c>
      <c r="M62" s="71" t="s">
        <v>31</v>
      </c>
      <c r="N62" s="71" t="s">
        <v>31</v>
      </c>
      <c r="O62" s="71" t="s">
        <v>31</v>
      </c>
      <c r="P62" s="71" t="s">
        <v>31</v>
      </c>
      <c r="Q62" s="71" t="s">
        <v>31</v>
      </c>
      <c r="R62" s="92">
        <v>0.03</v>
      </c>
      <c r="S62" s="92">
        <v>0.03</v>
      </c>
      <c r="T62" s="92">
        <v>2.5000000000000001E-2</v>
      </c>
      <c r="U62" s="92">
        <v>2.5000000000000001E-2</v>
      </c>
      <c r="V62" s="92">
        <v>2.5000000000000001E-2</v>
      </c>
      <c r="W62" s="92">
        <v>3.5000000000000003E-2</v>
      </c>
      <c r="X62" s="92">
        <v>3.5000000000000003E-2</v>
      </c>
      <c r="Y62" s="93">
        <v>0.04</v>
      </c>
      <c r="Z62" s="93">
        <v>0.04</v>
      </c>
      <c r="AA62" s="93">
        <v>0</v>
      </c>
      <c r="AB62" s="93">
        <v>0</v>
      </c>
      <c r="AC62" s="93">
        <v>0</v>
      </c>
      <c r="AD62" s="93">
        <v>0</v>
      </c>
      <c r="AE62" s="93">
        <v>0</v>
      </c>
      <c r="AF62" s="93">
        <v>0</v>
      </c>
      <c r="AG62" s="99">
        <v>0.01</v>
      </c>
      <c r="AH62" s="100">
        <v>0.02</v>
      </c>
      <c r="AI62" s="98">
        <v>0.01</v>
      </c>
      <c r="AJ62" s="98">
        <v>0.01</v>
      </c>
      <c r="AK62" s="97">
        <v>0</v>
      </c>
      <c r="AL62" s="71" t="s">
        <v>31</v>
      </c>
      <c r="AM62" s="93">
        <v>0</v>
      </c>
      <c r="AN62" s="96">
        <v>0</v>
      </c>
      <c r="AO62" s="71" t="s">
        <v>31</v>
      </c>
      <c r="AP62" s="71" t="s">
        <v>31</v>
      </c>
      <c r="AQ62" s="97">
        <v>0</v>
      </c>
      <c r="AR62" s="97">
        <v>0</v>
      </c>
      <c r="AS62" s="93">
        <v>0</v>
      </c>
      <c r="AT62" s="93">
        <v>0</v>
      </c>
      <c r="AU62" s="93">
        <v>0</v>
      </c>
      <c r="AV62" s="71" t="s">
        <v>31</v>
      </c>
      <c r="AW62" s="71" t="s">
        <v>31</v>
      </c>
      <c r="AX62" s="97">
        <v>0</v>
      </c>
      <c r="AY62" s="97">
        <v>0</v>
      </c>
      <c r="AZ62" s="93">
        <v>0</v>
      </c>
      <c r="BA62" s="93">
        <v>0</v>
      </c>
      <c r="BB62" s="69"/>
      <c r="BC62" s="69"/>
      <c r="BD62" s="69"/>
      <c r="BE62" s="69"/>
      <c r="BF62" s="69"/>
      <c r="BG62" s="69"/>
      <c r="BH62" s="69"/>
      <c r="BI62" s="69"/>
      <c r="BJ62" s="69"/>
    </row>
    <row r="63" spans="1:62" x14ac:dyDescent="0.2">
      <c r="A63" s="63">
        <v>-5</v>
      </c>
      <c r="B63" s="97">
        <v>0</v>
      </c>
      <c r="C63" s="97">
        <v>0</v>
      </c>
      <c r="D63" s="97">
        <v>0</v>
      </c>
      <c r="E63" s="97">
        <v>0</v>
      </c>
      <c r="F63" s="97">
        <v>0</v>
      </c>
      <c r="G63" s="97">
        <v>0</v>
      </c>
      <c r="H63" s="97">
        <v>0</v>
      </c>
      <c r="I63" s="91" t="s">
        <v>31</v>
      </c>
      <c r="J63" s="91" t="s">
        <v>31</v>
      </c>
      <c r="K63" s="97">
        <v>0</v>
      </c>
      <c r="L63" s="97">
        <v>0</v>
      </c>
      <c r="M63" s="71" t="s">
        <v>31</v>
      </c>
      <c r="N63" s="71" t="s">
        <v>31</v>
      </c>
      <c r="O63" s="71" t="s">
        <v>31</v>
      </c>
      <c r="P63" s="71" t="s">
        <v>31</v>
      </c>
      <c r="Q63" s="71" t="s">
        <v>31</v>
      </c>
      <c r="R63" s="92">
        <v>0.03</v>
      </c>
      <c r="S63" s="92">
        <v>0.03</v>
      </c>
      <c r="T63" s="92">
        <v>2.5000000000000001E-2</v>
      </c>
      <c r="U63" s="92">
        <v>2.5000000000000001E-2</v>
      </c>
      <c r="V63" s="92">
        <v>2.5000000000000001E-2</v>
      </c>
      <c r="W63" s="92">
        <v>3.5000000000000003E-2</v>
      </c>
      <c r="X63" s="92">
        <v>3.5000000000000003E-2</v>
      </c>
      <c r="Y63" s="93">
        <v>0.04</v>
      </c>
      <c r="Z63" s="93">
        <v>0.04</v>
      </c>
      <c r="AA63" s="93">
        <v>0</v>
      </c>
      <c r="AB63" s="93">
        <v>0</v>
      </c>
      <c r="AC63" s="93">
        <v>0</v>
      </c>
      <c r="AD63" s="93">
        <v>0</v>
      </c>
      <c r="AE63" s="93">
        <v>0</v>
      </c>
      <c r="AF63" s="93">
        <v>0</v>
      </c>
      <c r="AG63" s="99">
        <v>0.01</v>
      </c>
      <c r="AH63" s="100">
        <v>0.02</v>
      </c>
      <c r="AI63" s="98">
        <v>0.01</v>
      </c>
      <c r="AJ63" s="98">
        <v>0.01</v>
      </c>
      <c r="AK63" s="97">
        <v>0</v>
      </c>
      <c r="AL63" s="71" t="s">
        <v>31</v>
      </c>
      <c r="AM63" s="93">
        <v>0</v>
      </c>
      <c r="AN63" s="96">
        <v>0</v>
      </c>
      <c r="AO63" s="97">
        <v>0</v>
      </c>
      <c r="AP63" s="97">
        <v>0</v>
      </c>
      <c r="AQ63" s="97">
        <v>0</v>
      </c>
      <c r="AR63" s="97">
        <v>0</v>
      </c>
      <c r="AS63" s="93">
        <v>0</v>
      </c>
      <c r="AT63" s="93">
        <v>0</v>
      </c>
      <c r="AU63" s="93">
        <v>0</v>
      </c>
      <c r="AV63" s="97">
        <v>0</v>
      </c>
      <c r="AW63" s="97">
        <v>0</v>
      </c>
      <c r="AX63" s="97">
        <v>0</v>
      </c>
      <c r="AY63" s="97">
        <v>0</v>
      </c>
      <c r="AZ63" s="93">
        <v>0</v>
      </c>
      <c r="BA63" s="93">
        <v>0</v>
      </c>
      <c r="BB63" s="69"/>
      <c r="BC63" s="69"/>
      <c r="BD63" s="69"/>
      <c r="BE63" s="69"/>
      <c r="BF63" s="69"/>
      <c r="BG63" s="69"/>
      <c r="BH63" s="69"/>
      <c r="BI63" s="69"/>
      <c r="BJ63" s="69"/>
    </row>
    <row r="64" spans="1:62" x14ac:dyDescent="0.2">
      <c r="A64" s="63">
        <v>-1</v>
      </c>
      <c r="B64" s="93">
        <v>0</v>
      </c>
      <c r="C64" s="93">
        <v>0</v>
      </c>
      <c r="D64" s="93">
        <v>0</v>
      </c>
      <c r="E64" s="93">
        <v>0</v>
      </c>
      <c r="F64" s="93">
        <v>0</v>
      </c>
      <c r="G64" s="93">
        <v>0</v>
      </c>
      <c r="H64" s="93">
        <v>0</v>
      </c>
      <c r="I64" s="91" t="s">
        <v>31</v>
      </c>
      <c r="J64" s="91" t="s">
        <v>31</v>
      </c>
      <c r="K64" s="97">
        <v>0</v>
      </c>
      <c r="L64" s="97">
        <v>0</v>
      </c>
      <c r="M64" s="71" t="s">
        <v>31</v>
      </c>
      <c r="N64" s="71" t="s">
        <v>31</v>
      </c>
      <c r="O64" s="71" t="s">
        <v>31</v>
      </c>
      <c r="P64" s="71" t="s">
        <v>31</v>
      </c>
      <c r="Q64" s="71" t="s">
        <v>31</v>
      </c>
      <c r="R64" s="92">
        <v>0.03</v>
      </c>
      <c r="S64" s="92">
        <v>0.03</v>
      </c>
      <c r="T64" s="92">
        <v>2.5000000000000001E-2</v>
      </c>
      <c r="U64" s="92">
        <v>2.5000000000000001E-2</v>
      </c>
      <c r="V64" s="92">
        <v>2.5000000000000001E-2</v>
      </c>
      <c r="W64" s="92">
        <v>3.5000000000000003E-2</v>
      </c>
      <c r="X64" s="92">
        <v>3.5000000000000003E-2</v>
      </c>
      <c r="Y64" s="93">
        <v>0.04</v>
      </c>
      <c r="Z64" s="93">
        <v>0.04</v>
      </c>
      <c r="AA64" s="93">
        <f t="shared" ref="AA64:AF64" si="0">52%/100</f>
        <v>5.1999999999999998E-3</v>
      </c>
      <c r="AB64" s="93">
        <f t="shared" si="0"/>
        <v>5.1999999999999998E-3</v>
      </c>
      <c r="AC64" s="93">
        <f t="shared" si="0"/>
        <v>5.1999999999999998E-3</v>
      </c>
      <c r="AD64" s="93">
        <f t="shared" si="0"/>
        <v>5.1999999999999998E-3</v>
      </c>
      <c r="AE64" s="93">
        <f t="shared" si="0"/>
        <v>5.1999999999999998E-3</v>
      </c>
      <c r="AF64" s="93">
        <f t="shared" si="0"/>
        <v>5.1999999999999998E-3</v>
      </c>
      <c r="AG64" s="99">
        <v>0.01</v>
      </c>
      <c r="AH64" s="100">
        <v>0.02</v>
      </c>
      <c r="AI64" s="98">
        <v>0.01</v>
      </c>
      <c r="AJ64" s="98">
        <v>0.01</v>
      </c>
      <c r="AK64" s="93">
        <v>0</v>
      </c>
      <c r="AL64" s="71" t="s">
        <v>31</v>
      </c>
      <c r="AM64" s="93">
        <f>52%/100</f>
        <v>5.1999999999999998E-3</v>
      </c>
      <c r="AN64" s="96">
        <f t="shared" ref="AN64:AN66" si="1">52%/100</f>
        <v>5.1999999999999998E-3</v>
      </c>
      <c r="AO64" s="97">
        <v>0</v>
      </c>
      <c r="AP64" s="97">
        <v>0</v>
      </c>
      <c r="AQ64" s="97">
        <v>0</v>
      </c>
      <c r="AR64" s="97">
        <v>0</v>
      </c>
      <c r="AS64" s="93">
        <f t="shared" ref="AS64:AU66" si="2">52%/100</f>
        <v>5.1999999999999998E-3</v>
      </c>
      <c r="AT64" s="93">
        <f t="shared" si="2"/>
        <v>5.1999999999999998E-3</v>
      </c>
      <c r="AU64" s="93">
        <f t="shared" si="2"/>
        <v>5.1999999999999998E-3</v>
      </c>
      <c r="AV64" s="97">
        <v>0</v>
      </c>
      <c r="AW64" s="97">
        <v>0</v>
      </c>
      <c r="AX64" s="97">
        <v>0</v>
      </c>
      <c r="AY64" s="97">
        <v>0</v>
      </c>
      <c r="AZ64" s="93">
        <f t="shared" ref="AZ64:BA66" si="3">52%/100</f>
        <v>5.1999999999999998E-3</v>
      </c>
      <c r="BA64" s="93">
        <f t="shared" si="3"/>
        <v>5.1999999999999998E-3</v>
      </c>
    </row>
    <row r="65" spans="1:53" x14ac:dyDescent="0.2">
      <c r="A65" s="63">
        <v>0</v>
      </c>
      <c r="B65" s="93">
        <v>0</v>
      </c>
      <c r="C65" s="93">
        <v>0</v>
      </c>
      <c r="D65" s="93">
        <v>0</v>
      </c>
      <c r="E65" s="93">
        <v>0</v>
      </c>
      <c r="F65" s="93">
        <v>0</v>
      </c>
      <c r="G65" s="93">
        <v>0</v>
      </c>
      <c r="H65" s="93">
        <v>0</v>
      </c>
      <c r="I65" s="97">
        <v>0</v>
      </c>
      <c r="J65" s="97">
        <v>0</v>
      </c>
      <c r="K65" s="97">
        <v>0</v>
      </c>
      <c r="L65" s="97">
        <v>0</v>
      </c>
      <c r="M65" s="71" t="s">
        <v>31</v>
      </c>
      <c r="N65" s="71" t="s">
        <v>31</v>
      </c>
      <c r="O65" s="71" t="s">
        <v>31</v>
      </c>
      <c r="P65" s="71" t="s">
        <v>31</v>
      </c>
      <c r="Q65" s="71" t="s">
        <v>31</v>
      </c>
      <c r="R65" s="92">
        <v>0.03</v>
      </c>
      <c r="S65" s="92">
        <v>0.03</v>
      </c>
      <c r="T65" s="92">
        <v>0.02</v>
      </c>
      <c r="U65" s="92">
        <v>0.02</v>
      </c>
      <c r="V65" s="92">
        <v>0.02</v>
      </c>
      <c r="W65" s="92">
        <v>3.5000000000000003E-2</v>
      </c>
      <c r="X65" s="92">
        <v>3.5000000000000003E-2</v>
      </c>
      <c r="Y65" s="93">
        <v>3.5000000000000003E-2</v>
      </c>
      <c r="Z65" s="93">
        <v>3.5000000000000003E-2</v>
      </c>
      <c r="AA65" s="93">
        <f t="shared" ref="AA65:AF66" si="4">52%/100</f>
        <v>5.1999999999999998E-3</v>
      </c>
      <c r="AB65" s="93">
        <f t="shared" si="4"/>
        <v>5.1999999999999998E-3</v>
      </c>
      <c r="AC65" s="93">
        <f t="shared" si="4"/>
        <v>5.1999999999999998E-3</v>
      </c>
      <c r="AD65" s="93">
        <f t="shared" si="4"/>
        <v>5.1999999999999998E-3</v>
      </c>
      <c r="AE65" s="93">
        <f t="shared" si="4"/>
        <v>5.1999999999999998E-3</v>
      </c>
      <c r="AF65" s="93">
        <f t="shared" si="4"/>
        <v>5.1999999999999998E-3</v>
      </c>
      <c r="AG65" s="99">
        <v>0.01</v>
      </c>
      <c r="AH65" s="100">
        <v>0.02</v>
      </c>
      <c r="AI65" s="98">
        <v>0.01</v>
      </c>
      <c r="AJ65" s="98">
        <v>0.01</v>
      </c>
      <c r="AK65" s="93">
        <v>0</v>
      </c>
      <c r="AL65" s="71" t="s">
        <v>31</v>
      </c>
      <c r="AM65" s="93">
        <f>52%/100</f>
        <v>5.1999999999999998E-3</v>
      </c>
      <c r="AN65" s="96">
        <f t="shared" si="1"/>
        <v>5.1999999999999998E-3</v>
      </c>
      <c r="AO65" s="97">
        <v>0</v>
      </c>
      <c r="AP65" s="97">
        <v>0</v>
      </c>
      <c r="AQ65" s="97">
        <v>0</v>
      </c>
      <c r="AR65" s="97">
        <v>0</v>
      </c>
      <c r="AS65" s="93">
        <f t="shared" si="2"/>
        <v>5.1999999999999998E-3</v>
      </c>
      <c r="AT65" s="93">
        <f t="shared" si="2"/>
        <v>5.1999999999999998E-3</v>
      </c>
      <c r="AU65" s="93">
        <f t="shared" si="2"/>
        <v>5.1999999999999998E-3</v>
      </c>
      <c r="AV65" s="97">
        <v>0</v>
      </c>
      <c r="AW65" s="97">
        <v>0</v>
      </c>
      <c r="AX65" s="97">
        <v>0</v>
      </c>
      <c r="AY65" s="97">
        <v>0</v>
      </c>
      <c r="AZ65" s="93">
        <f t="shared" si="3"/>
        <v>5.1999999999999998E-3</v>
      </c>
      <c r="BA65" s="93">
        <f t="shared" si="3"/>
        <v>5.1999999999999998E-3</v>
      </c>
    </row>
    <row r="66" spans="1:53" x14ac:dyDescent="0.2">
      <c r="A66" s="63">
        <v>10</v>
      </c>
      <c r="B66" s="93">
        <v>0.03</v>
      </c>
      <c r="C66" s="93">
        <v>0.03</v>
      </c>
      <c r="D66" s="93">
        <v>0.03</v>
      </c>
      <c r="E66" s="93">
        <v>0.03</v>
      </c>
      <c r="F66" s="93">
        <v>0.03</v>
      </c>
      <c r="G66" s="93">
        <v>0.03</v>
      </c>
      <c r="H66" s="93">
        <v>0.03</v>
      </c>
      <c r="I66" s="97">
        <v>0</v>
      </c>
      <c r="J66" s="97">
        <v>0</v>
      </c>
      <c r="K66" s="97">
        <v>0</v>
      </c>
      <c r="L66" s="97">
        <v>0</v>
      </c>
      <c r="M66" s="71" t="s">
        <v>31</v>
      </c>
      <c r="N66" s="71" t="s">
        <v>31</v>
      </c>
      <c r="O66" s="71" t="s">
        <v>31</v>
      </c>
      <c r="P66" s="71" t="s">
        <v>31</v>
      </c>
      <c r="Q66" s="71" t="s">
        <v>31</v>
      </c>
      <c r="R66" s="93">
        <v>4.4999999999999998E-2</v>
      </c>
      <c r="S66" s="93">
        <v>4.4999999999999998E-2</v>
      </c>
      <c r="T66" s="92">
        <v>0.02</v>
      </c>
      <c r="U66" s="92">
        <v>0.02</v>
      </c>
      <c r="V66" s="92">
        <v>0.02</v>
      </c>
      <c r="W66" s="92">
        <v>3.5000000000000003E-2</v>
      </c>
      <c r="X66" s="92">
        <v>3.5000000000000003E-2</v>
      </c>
      <c r="Y66" s="93">
        <v>0.03</v>
      </c>
      <c r="Z66" s="93">
        <v>0.03</v>
      </c>
      <c r="AA66" s="93">
        <f t="shared" si="4"/>
        <v>5.1999999999999998E-3</v>
      </c>
      <c r="AB66" s="93">
        <f t="shared" si="4"/>
        <v>5.1999999999999998E-3</v>
      </c>
      <c r="AC66" s="93">
        <f t="shared" si="4"/>
        <v>5.1999999999999998E-3</v>
      </c>
      <c r="AD66" s="93">
        <f t="shared" si="4"/>
        <v>5.1999999999999998E-3</v>
      </c>
      <c r="AE66" s="93">
        <f t="shared" si="4"/>
        <v>5.1999999999999998E-3</v>
      </c>
      <c r="AF66" s="93">
        <f t="shared" si="4"/>
        <v>5.1999999999999998E-3</v>
      </c>
      <c r="AG66" s="99">
        <v>0.02</v>
      </c>
      <c r="AH66" s="100">
        <v>0.02</v>
      </c>
      <c r="AI66" s="98">
        <v>0.02</v>
      </c>
      <c r="AJ66" s="94">
        <v>1.4999999999999999E-2</v>
      </c>
      <c r="AK66" s="93">
        <v>0.03</v>
      </c>
      <c r="AL66" s="71" t="s">
        <v>31</v>
      </c>
      <c r="AM66" s="93">
        <f>52%/100</f>
        <v>5.1999999999999998E-3</v>
      </c>
      <c r="AN66" s="96">
        <f t="shared" si="1"/>
        <v>5.1999999999999998E-3</v>
      </c>
      <c r="AO66" s="97">
        <v>0</v>
      </c>
      <c r="AP66" s="97">
        <v>0</v>
      </c>
      <c r="AQ66" s="97">
        <v>0</v>
      </c>
      <c r="AR66" s="97">
        <v>0</v>
      </c>
      <c r="AS66" s="93">
        <f t="shared" si="2"/>
        <v>5.1999999999999998E-3</v>
      </c>
      <c r="AT66" s="93">
        <f t="shared" si="2"/>
        <v>5.1999999999999998E-3</v>
      </c>
      <c r="AU66" s="93">
        <f t="shared" si="2"/>
        <v>5.1999999999999998E-3</v>
      </c>
      <c r="AV66" s="97">
        <v>0</v>
      </c>
      <c r="AW66" s="97">
        <v>0</v>
      </c>
      <c r="AX66" s="97">
        <v>0</v>
      </c>
      <c r="AY66" s="97">
        <v>0</v>
      </c>
      <c r="AZ66" s="93">
        <f t="shared" si="3"/>
        <v>5.1999999999999998E-3</v>
      </c>
      <c r="BA66" s="93">
        <f t="shared" si="3"/>
        <v>5.1999999999999998E-3</v>
      </c>
    </row>
    <row r="67" spans="1:53" x14ac:dyDescent="0.2">
      <c r="A67" s="63">
        <v>15</v>
      </c>
      <c r="B67" s="93">
        <v>0.03</v>
      </c>
      <c r="C67" s="93">
        <v>0.03</v>
      </c>
      <c r="D67" s="93">
        <v>0.03</v>
      </c>
      <c r="E67" s="93">
        <v>0.03</v>
      </c>
      <c r="F67" s="93">
        <v>0.03</v>
      </c>
      <c r="G67" s="93">
        <v>0.03</v>
      </c>
      <c r="H67" s="93">
        <v>0.03</v>
      </c>
      <c r="I67" s="97">
        <v>0</v>
      </c>
      <c r="J67" s="97">
        <v>0</v>
      </c>
      <c r="K67" s="97">
        <v>0</v>
      </c>
      <c r="L67" s="97">
        <v>0</v>
      </c>
      <c r="M67" s="71" t="s">
        <v>31</v>
      </c>
      <c r="N67" s="71" t="s">
        <v>31</v>
      </c>
      <c r="O67" s="71" t="s">
        <v>31</v>
      </c>
      <c r="P67" s="71" t="s">
        <v>31</v>
      </c>
      <c r="Q67" s="71" t="s">
        <v>31</v>
      </c>
      <c r="R67" s="93">
        <v>4.4999999999999998E-2</v>
      </c>
      <c r="S67" s="93">
        <v>4.4999999999999998E-2</v>
      </c>
      <c r="T67" s="92">
        <v>0.02</v>
      </c>
      <c r="U67" s="92">
        <v>0.02</v>
      </c>
      <c r="V67" s="92">
        <v>0.02</v>
      </c>
      <c r="W67" s="92">
        <v>3.5000000000000003E-2</v>
      </c>
      <c r="X67" s="92">
        <v>3.5000000000000003E-2</v>
      </c>
      <c r="Y67" s="93">
        <v>0.03</v>
      </c>
      <c r="Z67" s="93">
        <v>0.03</v>
      </c>
      <c r="AA67" s="93">
        <f>80%/100</f>
        <v>8.0000000000000002E-3</v>
      </c>
      <c r="AB67" s="93">
        <f t="shared" ref="AB67:AF69" si="5">80%/100</f>
        <v>8.0000000000000002E-3</v>
      </c>
      <c r="AC67" s="93">
        <f t="shared" si="5"/>
        <v>8.0000000000000002E-3</v>
      </c>
      <c r="AD67" s="93">
        <f t="shared" si="5"/>
        <v>8.0000000000000002E-3</v>
      </c>
      <c r="AE67" s="93">
        <f t="shared" si="5"/>
        <v>8.0000000000000002E-3</v>
      </c>
      <c r="AF67" s="93">
        <f t="shared" si="5"/>
        <v>8.0000000000000002E-3</v>
      </c>
      <c r="AG67" s="99">
        <v>0.02</v>
      </c>
      <c r="AH67" s="100">
        <v>0.02</v>
      </c>
      <c r="AI67" s="98">
        <v>0.02</v>
      </c>
      <c r="AJ67" s="94">
        <v>1.4999999999999999E-2</v>
      </c>
      <c r="AK67" s="93">
        <v>0.03</v>
      </c>
      <c r="AL67" s="71" t="s">
        <v>31</v>
      </c>
      <c r="AM67" s="93">
        <f>80%/100</f>
        <v>8.0000000000000002E-3</v>
      </c>
      <c r="AN67" s="96">
        <f t="shared" ref="AN67:AN69" si="6">80%/100</f>
        <v>8.0000000000000002E-3</v>
      </c>
      <c r="AO67" s="97">
        <v>0</v>
      </c>
      <c r="AP67" s="97">
        <v>0</v>
      </c>
      <c r="AQ67" s="97">
        <v>0</v>
      </c>
      <c r="AR67" s="97">
        <v>0</v>
      </c>
      <c r="AS67" s="93">
        <f t="shared" ref="AS67:AT69" si="7">80%/100</f>
        <v>8.0000000000000002E-3</v>
      </c>
      <c r="AT67" s="93">
        <f t="shared" si="7"/>
        <v>8.0000000000000002E-3</v>
      </c>
      <c r="AU67" s="93">
        <f>80%/100</f>
        <v>8.0000000000000002E-3</v>
      </c>
      <c r="AV67" s="97">
        <v>0</v>
      </c>
      <c r="AW67" s="97">
        <v>0</v>
      </c>
      <c r="AX67" s="97">
        <v>0</v>
      </c>
      <c r="AY67" s="97">
        <v>0</v>
      </c>
      <c r="AZ67" s="93">
        <f t="shared" ref="AZ67:BA69" si="8">80%/100</f>
        <v>8.0000000000000002E-3</v>
      </c>
      <c r="BA67" s="93">
        <f t="shared" si="8"/>
        <v>8.0000000000000002E-3</v>
      </c>
    </row>
    <row r="68" spans="1:53" x14ac:dyDescent="0.2">
      <c r="A68" s="63">
        <v>17</v>
      </c>
      <c r="B68" s="93">
        <v>0.03</v>
      </c>
      <c r="C68" s="93">
        <v>0.03</v>
      </c>
      <c r="D68" s="93">
        <v>0.03</v>
      </c>
      <c r="E68" s="93">
        <v>0.03</v>
      </c>
      <c r="F68" s="93">
        <v>0.03</v>
      </c>
      <c r="G68" s="93">
        <v>0.03</v>
      </c>
      <c r="H68" s="93">
        <v>0.03</v>
      </c>
      <c r="I68" s="97">
        <v>0</v>
      </c>
      <c r="J68" s="97">
        <v>0</v>
      </c>
      <c r="K68" s="97">
        <v>0</v>
      </c>
      <c r="L68" s="97">
        <v>0</v>
      </c>
      <c r="M68" s="71" t="s">
        <v>31</v>
      </c>
      <c r="N68" s="71" t="s">
        <v>31</v>
      </c>
      <c r="O68" s="71" t="s">
        <v>31</v>
      </c>
      <c r="P68" s="71" t="s">
        <v>31</v>
      </c>
      <c r="Q68" s="71" t="s">
        <v>31</v>
      </c>
      <c r="R68" s="93">
        <v>4.4999999999999998E-2</v>
      </c>
      <c r="S68" s="93">
        <v>4.4999999999999998E-2</v>
      </c>
      <c r="T68" s="92">
        <v>0.02</v>
      </c>
      <c r="U68" s="92">
        <v>0.02</v>
      </c>
      <c r="V68" s="92">
        <v>0.02</v>
      </c>
      <c r="W68" s="92">
        <v>3.5000000000000003E-2</v>
      </c>
      <c r="X68" s="92">
        <v>3.5000000000000003E-2</v>
      </c>
      <c r="Y68" s="93">
        <v>0.03</v>
      </c>
      <c r="Z68" s="93">
        <v>0.03</v>
      </c>
      <c r="AA68" s="93">
        <f>80%/100</f>
        <v>8.0000000000000002E-3</v>
      </c>
      <c r="AB68" s="93">
        <f t="shared" si="5"/>
        <v>8.0000000000000002E-3</v>
      </c>
      <c r="AC68" s="93">
        <f t="shared" si="5"/>
        <v>8.0000000000000002E-3</v>
      </c>
      <c r="AD68" s="93">
        <f t="shared" si="5"/>
        <v>8.0000000000000002E-3</v>
      </c>
      <c r="AE68" s="93">
        <f t="shared" si="5"/>
        <v>8.0000000000000002E-3</v>
      </c>
      <c r="AF68" s="93">
        <f t="shared" si="5"/>
        <v>8.0000000000000002E-3</v>
      </c>
      <c r="AG68" s="99">
        <v>0.02</v>
      </c>
      <c r="AH68" s="100">
        <v>0.02</v>
      </c>
      <c r="AI68" s="98">
        <v>0.02</v>
      </c>
      <c r="AJ68" s="94">
        <v>1.4999999999999999E-2</v>
      </c>
      <c r="AK68" s="93">
        <v>0.03</v>
      </c>
      <c r="AL68" s="71" t="s">
        <v>31</v>
      </c>
      <c r="AM68" s="93">
        <f>80%/100</f>
        <v>8.0000000000000002E-3</v>
      </c>
      <c r="AN68" s="96">
        <f t="shared" si="6"/>
        <v>8.0000000000000002E-3</v>
      </c>
      <c r="AO68" s="97">
        <v>0</v>
      </c>
      <c r="AP68" s="97">
        <v>0</v>
      </c>
      <c r="AQ68" s="93">
        <v>5.1999999999999998E-3</v>
      </c>
      <c r="AR68" s="93">
        <v>5.1999999999999998E-3</v>
      </c>
      <c r="AS68" s="93">
        <f t="shared" si="7"/>
        <v>8.0000000000000002E-3</v>
      </c>
      <c r="AT68" s="93">
        <f t="shared" si="7"/>
        <v>8.0000000000000002E-3</v>
      </c>
      <c r="AU68" s="93">
        <f>80%/100</f>
        <v>8.0000000000000002E-3</v>
      </c>
      <c r="AV68" s="97">
        <v>0</v>
      </c>
      <c r="AW68" s="97">
        <v>0</v>
      </c>
      <c r="AX68" s="93">
        <v>5.1999999999999998E-3</v>
      </c>
      <c r="AY68" s="93">
        <v>5.1999999999999998E-3</v>
      </c>
      <c r="AZ68" s="93">
        <f t="shared" si="8"/>
        <v>8.0000000000000002E-3</v>
      </c>
      <c r="BA68" s="93">
        <f t="shared" si="8"/>
        <v>8.0000000000000002E-3</v>
      </c>
    </row>
    <row r="69" spans="1:53" x14ac:dyDescent="0.2">
      <c r="A69" s="63">
        <v>20</v>
      </c>
      <c r="B69" s="93">
        <v>0.03</v>
      </c>
      <c r="C69" s="93">
        <v>0.03</v>
      </c>
      <c r="D69" s="93">
        <v>0.03</v>
      </c>
      <c r="E69" s="93">
        <v>0.03</v>
      </c>
      <c r="F69" s="93">
        <v>0.03</v>
      </c>
      <c r="G69" s="93">
        <v>0.03</v>
      </c>
      <c r="H69" s="93">
        <v>0.03</v>
      </c>
      <c r="I69" s="97">
        <v>0</v>
      </c>
      <c r="J69" s="97">
        <v>0</v>
      </c>
      <c r="K69" s="97">
        <v>0</v>
      </c>
      <c r="L69" s="97">
        <v>0</v>
      </c>
      <c r="M69" s="71" t="s">
        <v>31</v>
      </c>
      <c r="N69" s="71" t="s">
        <v>31</v>
      </c>
      <c r="O69" s="71" t="s">
        <v>31</v>
      </c>
      <c r="P69" s="71" t="s">
        <v>31</v>
      </c>
      <c r="Q69" s="71" t="s">
        <v>31</v>
      </c>
      <c r="R69" s="93">
        <v>4.4999999999999998E-2</v>
      </c>
      <c r="S69" s="93">
        <v>4.4999999999999998E-2</v>
      </c>
      <c r="T69" s="93">
        <v>0.02</v>
      </c>
      <c r="U69" s="93">
        <v>0.02</v>
      </c>
      <c r="V69" s="93">
        <v>0.02</v>
      </c>
      <c r="W69" s="93">
        <v>0.03</v>
      </c>
      <c r="X69" s="93">
        <v>0.03</v>
      </c>
      <c r="Y69" s="93">
        <v>0.03</v>
      </c>
      <c r="Z69" s="93">
        <v>0.03</v>
      </c>
      <c r="AA69" s="93">
        <f>80%/100</f>
        <v>8.0000000000000002E-3</v>
      </c>
      <c r="AB69" s="93">
        <f t="shared" si="5"/>
        <v>8.0000000000000002E-3</v>
      </c>
      <c r="AC69" s="93">
        <f t="shared" si="5"/>
        <v>8.0000000000000002E-3</v>
      </c>
      <c r="AD69" s="93">
        <f t="shared" si="5"/>
        <v>8.0000000000000002E-3</v>
      </c>
      <c r="AE69" s="93">
        <f t="shared" si="5"/>
        <v>8.0000000000000002E-3</v>
      </c>
      <c r="AF69" s="93">
        <f t="shared" si="5"/>
        <v>8.0000000000000002E-3</v>
      </c>
      <c r="AG69" s="99">
        <v>0.02</v>
      </c>
      <c r="AH69" s="100">
        <v>0.02</v>
      </c>
      <c r="AI69" s="98">
        <v>0.02</v>
      </c>
      <c r="AJ69" s="94">
        <v>1.4999999999999999E-2</v>
      </c>
      <c r="AK69" s="93">
        <v>0.03</v>
      </c>
      <c r="AL69" s="71" t="s">
        <v>31</v>
      </c>
      <c r="AM69" s="93">
        <f>80%/100</f>
        <v>8.0000000000000002E-3</v>
      </c>
      <c r="AN69" s="96">
        <f t="shared" si="6"/>
        <v>8.0000000000000002E-3</v>
      </c>
      <c r="AO69" s="97">
        <v>0</v>
      </c>
      <c r="AP69" s="97">
        <v>0</v>
      </c>
      <c r="AQ69" s="93">
        <v>5.1999999999999998E-3</v>
      </c>
      <c r="AR69" s="93">
        <v>5.1999999999999998E-3</v>
      </c>
      <c r="AS69" s="93">
        <f t="shared" si="7"/>
        <v>8.0000000000000002E-3</v>
      </c>
      <c r="AT69" s="93">
        <f t="shared" si="7"/>
        <v>8.0000000000000002E-3</v>
      </c>
      <c r="AU69" s="93">
        <f>80%/100</f>
        <v>8.0000000000000002E-3</v>
      </c>
      <c r="AV69" s="97">
        <v>0</v>
      </c>
      <c r="AW69" s="97">
        <v>0</v>
      </c>
      <c r="AX69" s="93">
        <v>5.1999999999999998E-3</v>
      </c>
      <c r="AY69" s="93">
        <v>5.1999999999999998E-3</v>
      </c>
      <c r="AZ69" s="93">
        <f t="shared" si="8"/>
        <v>8.0000000000000002E-3</v>
      </c>
      <c r="BA69" s="93">
        <f t="shared" si="8"/>
        <v>8.0000000000000002E-3</v>
      </c>
    </row>
    <row r="70" spans="1:53" x14ac:dyDescent="0.2">
      <c r="A70" s="63">
        <v>25</v>
      </c>
      <c r="B70" s="71" t="s">
        <v>31</v>
      </c>
      <c r="C70" s="71" t="s">
        <v>31</v>
      </c>
      <c r="D70" s="71" t="s">
        <v>31</v>
      </c>
      <c r="E70" s="71" t="s">
        <v>31</v>
      </c>
      <c r="F70" s="71" t="s">
        <v>31</v>
      </c>
      <c r="G70" s="71" t="s">
        <v>31</v>
      </c>
      <c r="H70" s="71" t="s">
        <v>31</v>
      </c>
      <c r="I70" s="97">
        <v>0</v>
      </c>
      <c r="J70" s="97">
        <v>0</v>
      </c>
      <c r="K70" s="97">
        <v>0.05</v>
      </c>
      <c r="L70" s="97">
        <v>0.05</v>
      </c>
      <c r="M70" s="71" t="s">
        <v>31</v>
      </c>
      <c r="N70" s="71" t="s">
        <v>31</v>
      </c>
      <c r="O70" s="71" t="s">
        <v>31</v>
      </c>
      <c r="P70" s="71" t="s">
        <v>31</v>
      </c>
      <c r="Q70" s="71" t="s">
        <v>31</v>
      </c>
      <c r="R70" s="71" t="s">
        <v>31</v>
      </c>
      <c r="S70" s="71" t="s">
        <v>31</v>
      </c>
      <c r="T70" s="71" t="s">
        <v>31</v>
      </c>
      <c r="U70" s="71" t="s">
        <v>31</v>
      </c>
      <c r="V70" s="71" t="s">
        <v>31</v>
      </c>
      <c r="W70" s="93">
        <v>0.03</v>
      </c>
      <c r="X70" s="93">
        <v>0.03</v>
      </c>
      <c r="Y70" s="93">
        <v>0.03</v>
      </c>
      <c r="Z70" s="93">
        <v>0.03</v>
      </c>
      <c r="AA70" s="71" t="s">
        <v>31</v>
      </c>
      <c r="AB70" s="71" t="s">
        <v>31</v>
      </c>
      <c r="AC70" s="71" t="s">
        <v>31</v>
      </c>
      <c r="AD70" s="71" t="s">
        <v>31</v>
      </c>
      <c r="AE70" s="71" t="s">
        <v>31</v>
      </c>
      <c r="AF70" s="71" t="s">
        <v>31</v>
      </c>
      <c r="AG70" s="71" t="s">
        <v>31</v>
      </c>
      <c r="AH70" s="71" t="s">
        <v>31</v>
      </c>
      <c r="AI70" s="71" t="s">
        <v>31</v>
      </c>
      <c r="AJ70" s="71" t="s">
        <v>31</v>
      </c>
      <c r="AK70" s="71" t="s">
        <v>31</v>
      </c>
      <c r="AL70" s="71" t="s">
        <v>31</v>
      </c>
      <c r="AM70" s="71" t="s">
        <v>31</v>
      </c>
      <c r="AN70" s="78" t="s">
        <v>31</v>
      </c>
      <c r="AO70" s="97">
        <v>0</v>
      </c>
      <c r="AP70" s="97">
        <v>0</v>
      </c>
      <c r="AQ70" s="93">
        <v>5.1999999999999998E-3</v>
      </c>
      <c r="AR70" s="93">
        <v>5.1999999999999998E-3</v>
      </c>
      <c r="AS70" s="71" t="s">
        <v>31</v>
      </c>
      <c r="AT70" s="71" t="s">
        <v>31</v>
      </c>
      <c r="AU70" s="71" t="s">
        <v>31</v>
      </c>
      <c r="AV70" s="97">
        <v>0</v>
      </c>
      <c r="AW70" s="97">
        <v>0</v>
      </c>
      <c r="AX70" s="93">
        <v>5.1999999999999998E-3</v>
      </c>
      <c r="AY70" s="93">
        <v>5.1999999999999998E-3</v>
      </c>
      <c r="AZ70" s="71" t="s">
        <v>31</v>
      </c>
      <c r="BA70" s="71" t="s">
        <v>31</v>
      </c>
    </row>
    <row r="71" spans="1:53" x14ac:dyDescent="0.2">
      <c r="A71" s="63">
        <v>29</v>
      </c>
      <c r="B71" s="71" t="s">
        <v>31</v>
      </c>
      <c r="C71" s="71" t="s">
        <v>31</v>
      </c>
      <c r="D71" s="71" t="s">
        <v>31</v>
      </c>
      <c r="E71" s="71" t="s">
        <v>31</v>
      </c>
      <c r="F71" s="71" t="s">
        <v>31</v>
      </c>
      <c r="G71" s="71" t="s">
        <v>31</v>
      </c>
      <c r="H71" s="71" t="s">
        <v>31</v>
      </c>
      <c r="I71" s="97">
        <v>0</v>
      </c>
      <c r="J71" s="97">
        <v>0</v>
      </c>
      <c r="K71" s="97">
        <v>0.05</v>
      </c>
      <c r="L71" s="97">
        <v>0.05</v>
      </c>
      <c r="M71" s="71" t="s">
        <v>31</v>
      </c>
      <c r="N71" s="71" t="s">
        <v>31</v>
      </c>
      <c r="O71" s="71" t="s">
        <v>31</v>
      </c>
      <c r="P71" s="71" t="s">
        <v>31</v>
      </c>
      <c r="Q71" s="71" t="s">
        <v>31</v>
      </c>
      <c r="R71" s="71" t="s">
        <v>31</v>
      </c>
      <c r="S71" s="71" t="s">
        <v>31</v>
      </c>
      <c r="T71" s="71" t="s">
        <v>31</v>
      </c>
      <c r="U71" s="71" t="s">
        <v>31</v>
      </c>
      <c r="V71" s="71" t="s">
        <v>31</v>
      </c>
      <c r="W71" s="93">
        <v>0.03</v>
      </c>
      <c r="X71" s="93">
        <v>0.03</v>
      </c>
      <c r="Y71" s="93">
        <v>0.03</v>
      </c>
      <c r="Z71" s="93">
        <v>0.03</v>
      </c>
      <c r="AA71" s="71" t="s">
        <v>31</v>
      </c>
      <c r="AB71" s="71" t="s">
        <v>31</v>
      </c>
      <c r="AC71" s="71" t="s">
        <v>31</v>
      </c>
      <c r="AD71" s="71" t="s">
        <v>31</v>
      </c>
      <c r="AE71" s="71" t="s">
        <v>31</v>
      </c>
      <c r="AF71" s="71" t="s">
        <v>31</v>
      </c>
      <c r="AG71" s="71" t="s">
        <v>31</v>
      </c>
      <c r="AH71" s="71" t="s">
        <v>31</v>
      </c>
      <c r="AI71" s="71" t="s">
        <v>31</v>
      </c>
      <c r="AJ71" s="71" t="s">
        <v>31</v>
      </c>
      <c r="AK71" s="71" t="s">
        <v>31</v>
      </c>
      <c r="AL71" s="71" t="s">
        <v>31</v>
      </c>
      <c r="AM71" s="71" t="s">
        <v>31</v>
      </c>
      <c r="AN71" s="78" t="s">
        <v>31</v>
      </c>
      <c r="AO71" s="93">
        <v>5.1999999999999998E-3</v>
      </c>
      <c r="AP71" s="93">
        <v>5.1999999999999998E-3</v>
      </c>
      <c r="AQ71" s="93">
        <v>5.1999999999999998E-3</v>
      </c>
      <c r="AR71" s="93">
        <v>5.1999999999999998E-3</v>
      </c>
      <c r="AS71" s="71" t="s">
        <v>31</v>
      </c>
      <c r="AT71" s="71" t="s">
        <v>31</v>
      </c>
      <c r="AU71" s="71" t="s">
        <v>31</v>
      </c>
      <c r="AV71" s="93">
        <v>5.1999999999999998E-3</v>
      </c>
      <c r="AW71" s="93">
        <v>5.1999999999999998E-3</v>
      </c>
      <c r="AX71" s="93">
        <v>5.1999999999999998E-3</v>
      </c>
      <c r="AY71" s="93">
        <v>5.1999999999999998E-3</v>
      </c>
      <c r="AZ71" s="71" t="s">
        <v>31</v>
      </c>
      <c r="BA71" s="71" t="s">
        <v>31</v>
      </c>
    </row>
    <row r="72" spans="1:53" x14ac:dyDescent="0.2">
      <c r="A72" s="63">
        <v>30</v>
      </c>
      <c r="B72" s="71" t="s">
        <v>31</v>
      </c>
      <c r="C72" s="71" t="s">
        <v>31</v>
      </c>
      <c r="D72" s="71" t="s">
        <v>31</v>
      </c>
      <c r="E72" s="71" t="s">
        <v>31</v>
      </c>
      <c r="F72" s="71" t="s">
        <v>31</v>
      </c>
      <c r="G72" s="71" t="s">
        <v>31</v>
      </c>
      <c r="H72" s="71" t="s">
        <v>31</v>
      </c>
      <c r="I72" s="97">
        <v>0</v>
      </c>
      <c r="J72" s="97">
        <v>0</v>
      </c>
      <c r="K72" s="97">
        <v>0.05</v>
      </c>
      <c r="L72" s="97">
        <v>0.05</v>
      </c>
      <c r="M72" s="71" t="s">
        <v>31</v>
      </c>
      <c r="N72" s="71" t="s">
        <v>31</v>
      </c>
      <c r="O72" s="71" t="s">
        <v>31</v>
      </c>
      <c r="P72" s="71" t="s">
        <v>31</v>
      </c>
      <c r="Q72" s="71" t="s">
        <v>31</v>
      </c>
      <c r="R72" s="71" t="s">
        <v>31</v>
      </c>
      <c r="S72" s="71" t="s">
        <v>31</v>
      </c>
      <c r="T72" s="71" t="s">
        <v>31</v>
      </c>
      <c r="U72" s="71" t="s">
        <v>31</v>
      </c>
      <c r="V72" s="71" t="s">
        <v>31</v>
      </c>
      <c r="W72" s="93">
        <v>2.5000000000000001E-2</v>
      </c>
      <c r="X72" s="93">
        <v>2.5000000000000001E-2</v>
      </c>
      <c r="Y72" s="93">
        <v>0.03</v>
      </c>
      <c r="Z72" s="93">
        <v>0.03</v>
      </c>
      <c r="AA72" s="71" t="s">
        <v>31</v>
      </c>
      <c r="AB72" s="71" t="s">
        <v>31</v>
      </c>
      <c r="AC72" s="71" t="s">
        <v>31</v>
      </c>
      <c r="AD72" s="71" t="s">
        <v>31</v>
      </c>
      <c r="AE72" s="71" t="s">
        <v>31</v>
      </c>
      <c r="AF72" s="71" t="s">
        <v>31</v>
      </c>
      <c r="AG72" s="71" t="s">
        <v>31</v>
      </c>
      <c r="AH72" s="71" t="s">
        <v>31</v>
      </c>
      <c r="AI72" s="71" t="s">
        <v>31</v>
      </c>
      <c r="AJ72" s="71" t="s">
        <v>31</v>
      </c>
      <c r="AK72" s="71" t="s">
        <v>31</v>
      </c>
      <c r="AL72" s="71" t="s">
        <v>31</v>
      </c>
      <c r="AM72" s="71" t="s">
        <v>31</v>
      </c>
      <c r="AN72" s="78" t="s">
        <v>31</v>
      </c>
      <c r="AO72" s="93">
        <v>5.1999999999999998E-3</v>
      </c>
      <c r="AP72" s="93">
        <v>5.1999999999999998E-3</v>
      </c>
      <c r="AQ72" s="93">
        <v>8.0000000000000002E-3</v>
      </c>
      <c r="AR72" s="93">
        <v>8.0000000000000002E-3</v>
      </c>
      <c r="AS72" s="71" t="s">
        <v>31</v>
      </c>
      <c r="AT72" s="71" t="s">
        <v>31</v>
      </c>
      <c r="AU72" s="71" t="s">
        <v>31</v>
      </c>
      <c r="AV72" s="93">
        <v>5.1999999999999998E-3</v>
      </c>
      <c r="AW72" s="93">
        <v>5.1999999999999998E-3</v>
      </c>
      <c r="AX72" s="93">
        <v>8.0000000000000002E-3</v>
      </c>
      <c r="AY72" s="93">
        <v>8.0000000000000002E-3</v>
      </c>
      <c r="AZ72" s="71" t="s">
        <v>31</v>
      </c>
      <c r="BA72" s="71" t="s">
        <v>31</v>
      </c>
    </row>
    <row r="73" spans="1:53" x14ac:dyDescent="0.2">
      <c r="A73" s="63">
        <v>35</v>
      </c>
      <c r="B73" s="71" t="s">
        <v>31</v>
      </c>
      <c r="C73" s="71" t="s">
        <v>31</v>
      </c>
      <c r="D73" s="71" t="s">
        <v>31</v>
      </c>
      <c r="E73" s="71" t="s">
        <v>31</v>
      </c>
      <c r="F73" s="71" t="s">
        <v>31</v>
      </c>
      <c r="G73" s="71" t="s">
        <v>31</v>
      </c>
      <c r="H73" s="71" t="s">
        <v>31</v>
      </c>
      <c r="I73" s="97">
        <v>0.04</v>
      </c>
      <c r="J73" s="97">
        <v>0.04</v>
      </c>
      <c r="K73" s="97">
        <v>0.05</v>
      </c>
      <c r="L73" s="97">
        <v>0.05</v>
      </c>
      <c r="M73" s="71" t="s">
        <v>31</v>
      </c>
      <c r="N73" s="71" t="s">
        <v>31</v>
      </c>
      <c r="O73" s="71" t="s">
        <v>31</v>
      </c>
      <c r="P73" s="71" t="s">
        <v>31</v>
      </c>
      <c r="Q73" s="71" t="s">
        <v>31</v>
      </c>
      <c r="R73" s="71" t="s">
        <v>31</v>
      </c>
      <c r="S73" s="71" t="s">
        <v>31</v>
      </c>
      <c r="T73" s="71" t="s">
        <v>31</v>
      </c>
      <c r="U73" s="71" t="s">
        <v>31</v>
      </c>
      <c r="V73" s="71" t="s">
        <v>31</v>
      </c>
      <c r="W73" s="93">
        <v>2.5000000000000001E-2</v>
      </c>
      <c r="X73" s="93">
        <v>2.5000000000000001E-2</v>
      </c>
      <c r="Y73" s="71" t="s">
        <v>31</v>
      </c>
      <c r="Z73" s="71" t="s">
        <v>31</v>
      </c>
      <c r="AA73" s="71" t="s">
        <v>31</v>
      </c>
      <c r="AB73" s="71" t="s">
        <v>31</v>
      </c>
      <c r="AC73" s="71" t="s">
        <v>31</v>
      </c>
      <c r="AD73" s="71" t="s">
        <v>31</v>
      </c>
      <c r="AE73" s="71" t="s">
        <v>31</v>
      </c>
      <c r="AF73" s="71" t="s">
        <v>31</v>
      </c>
      <c r="AG73" s="71" t="s">
        <v>31</v>
      </c>
      <c r="AH73" s="71" t="s">
        <v>31</v>
      </c>
      <c r="AI73" s="71" t="s">
        <v>31</v>
      </c>
      <c r="AJ73" s="71" t="s">
        <v>31</v>
      </c>
      <c r="AK73" s="71" t="s">
        <v>31</v>
      </c>
      <c r="AL73" s="71" t="s">
        <v>31</v>
      </c>
      <c r="AM73" s="71" t="s">
        <v>31</v>
      </c>
      <c r="AN73" s="78" t="s">
        <v>31</v>
      </c>
      <c r="AO73" s="93">
        <v>5.1999999999999998E-3</v>
      </c>
      <c r="AP73" s="93">
        <v>5.1999999999999998E-3</v>
      </c>
      <c r="AQ73" s="93">
        <v>8.0000000000000002E-3</v>
      </c>
      <c r="AR73" s="93">
        <v>8.0000000000000002E-3</v>
      </c>
      <c r="AS73" s="71" t="s">
        <v>31</v>
      </c>
      <c r="AT73" s="71" t="s">
        <v>31</v>
      </c>
      <c r="AU73" s="71" t="s">
        <v>31</v>
      </c>
      <c r="AV73" s="93">
        <v>5.1999999999999998E-3</v>
      </c>
      <c r="AW73" s="93">
        <v>5.1999999999999998E-3</v>
      </c>
      <c r="AX73" s="93">
        <v>8.0000000000000002E-3</v>
      </c>
      <c r="AY73" s="93">
        <v>8.0000000000000002E-3</v>
      </c>
      <c r="AZ73" s="71" t="s">
        <v>31</v>
      </c>
      <c r="BA73" s="71" t="s">
        <v>31</v>
      </c>
    </row>
    <row r="74" spans="1:53" x14ac:dyDescent="0.2">
      <c r="A74" s="63">
        <v>39</v>
      </c>
      <c r="B74" s="71" t="s">
        <v>31</v>
      </c>
      <c r="C74" s="71" t="s">
        <v>31</v>
      </c>
      <c r="D74" s="71" t="s">
        <v>31</v>
      </c>
      <c r="E74" s="71" t="s">
        <v>31</v>
      </c>
      <c r="F74" s="71" t="s">
        <v>31</v>
      </c>
      <c r="G74" s="71" t="s">
        <v>31</v>
      </c>
      <c r="H74" s="71" t="s">
        <v>31</v>
      </c>
      <c r="I74" s="97">
        <v>0.04</v>
      </c>
      <c r="J74" s="97">
        <v>0.04</v>
      </c>
      <c r="K74" s="97" t="s">
        <v>31</v>
      </c>
      <c r="L74" s="97" t="s">
        <v>31</v>
      </c>
      <c r="M74" s="71" t="s">
        <v>31</v>
      </c>
      <c r="N74" s="71" t="s">
        <v>31</v>
      </c>
      <c r="O74" s="71" t="s">
        <v>31</v>
      </c>
      <c r="P74" s="71" t="s">
        <v>31</v>
      </c>
      <c r="Q74" s="71" t="s">
        <v>31</v>
      </c>
      <c r="R74" s="71" t="s">
        <v>31</v>
      </c>
      <c r="S74" s="71" t="s">
        <v>31</v>
      </c>
      <c r="T74" s="71" t="s">
        <v>31</v>
      </c>
      <c r="U74" s="71" t="s">
        <v>31</v>
      </c>
      <c r="V74" s="71" t="s">
        <v>31</v>
      </c>
      <c r="W74" s="93">
        <v>2.5000000000000001E-2</v>
      </c>
      <c r="X74" s="93">
        <v>2.5000000000000001E-2</v>
      </c>
      <c r="Y74" s="71" t="s">
        <v>31</v>
      </c>
      <c r="Z74" s="71" t="s">
        <v>31</v>
      </c>
      <c r="AA74" s="71" t="s">
        <v>31</v>
      </c>
      <c r="AB74" s="71" t="s">
        <v>31</v>
      </c>
      <c r="AC74" s="71" t="s">
        <v>31</v>
      </c>
      <c r="AD74" s="71" t="s">
        <v>31</v>
      </c>
      <c r="AE74" s="71" t="s">
        <v>31</v>
      </c>
      <c r="AF74" s="71" t="s">
        <v>31</v>
      </c>
      <c r="AG74" s="71" t="s">
        <v>31</v>
      </c>
      <c r="AH74" s="71" t="s">
        <v>31</v>
      </c>
      <c r="AI74" s="71" t="s">
        <v>31</v>
      </c>
      <c r="AJ74" s="71" t="s">
        <v>31</v>
      </c>
      <c r="AK74" s="71" t="s">
        <v>31</v>
      </c>
      <c r="AL74" s="71" t="s">
        <v>31</v>
      </c>
      <c r="AM74" s="71" t="s">
        <v>31</v>
      </c>
      <c r="AN74" s="78" t="s">
        <v>31</v>
      </c>
      <c r="AO74" s="93">
        <v>8.0000000000000002E-3</v>
      </c>
      <c r="AP74" s="93">
        <v>8.0000000000000002E-3</v>
      </c>
      <c r="AQ74" s="77" t="s">
        <v>31</v>
      </c>
      <c r="AR74" s="77" t="s">
        <v>31</v>
      </c>
      <c r="AS74" s="71" t="s">
        <v>31</v>
      </c>
      <c r="AT74" s="71" t="s">
        <v>31</v>
      </c>
      <c r="AU74" s="71" t="s">
        <v>31</v>
      </c>
      <c r="AV74" s="93">
        <v>8.0000000000000002E-3</v>
      </c>
      <c r="AW74" s="93">
        <v>8.0000000000000002E-3</v>
      </c>
      <c r="AX74" s="77" t="s">
        <v>31</v>
      </c>
      <c r="AY74" s="77" t="s">
        <v>31</v>
      </c>
      <c r="AZ74" s="71" t="s">
        <v>31</v>
      </c>
      <c r="BA74" s="71" t="s">
        <v>31</v>
      </c>
    </row>
    <row r="75" spans="1:53" x14ac:dyDescent="0.2">
      <c r="A75" s="63">
        <v>44</v>
      </c>
      <c r="B75" s="71" t="s">
        <v>31</v>
      </c>
      <c r="C75" s="71" t="s">
        <v>31</v>
      </c>
      <c r="D75" s="71" t="s">
        <v>31</v>
      </c>
      <c r="E75" s="71" t="s">
        <v>31</v>
      </c>
      <c r="F75" s="71" t="s">
        <v>31</v>
      </c>
      <c r="G75" s="71" t="s">
        <v>31</v>
      </c>
      <c r="H75" s="71" t="s">
        <v>31</v>
      </c>
      <c r="I75" s="97">
        <v>0.04</v>
      </c>
      <c r="J75" s="97">
        <v>0.04</v>
      </c>
      <c r="K75" s="97" t="s">
        <v>31</v>
      </c>
      <c r="L75" s="97" t="s">
        <v>31</v>
      </c>
      <c r="M75" s="71" t="s">
        <v>31</v>
      </c>
      <c r="N75" s="71" t="s">
        <v>31</v>
      </c>
      <c r="O75" s="71" t="s">
        <v>31</v>
      </c>
      <c r="P75" s="71" t="s">
        <v>31</v>
      </c>
      <c r="Q75" s="71" t="s">
        <v>31</v>
      </c>
      <c r="R75" s="71" t="s">
        <v>31</v>
      </c>
      <c r="S75" s="71" t="s">
        <v>31</v>
      </c>
      <c r="T75" s="71" t="s">
        <v>31</v>
      </c>
      <c r="U75" s="71" t="s">
        <v>31</v>
      </c>
      <c r="V75" s="71" t="s">
        <v>31</v>
      </c>
      <c r="W75" s="93">
        <v>2.5000000000000001E-2</v>
      </c>
      <c r="X75" s="93">
        <v>2.5000000000000001E-2</v>
      </c>
      <c r="Y75" s="71" t="s">
        <v>31</v>
      </c>
      <c r="Z75" s="71" t="s">
        <v>31</v>
      </c>
      <c r="AA75" s="71" t="s">
        <v>31</v>
      </c>
      <c r="AB75" s="71" t="s">
        <v>31</v>
      </c>
      <c r="AC75" s="71" t="s">
        <v>31</v>
      </c>
      <c r="AD75" s="71" t="s">
        <v>31</v>
      </c>
      <c r="AE75" s="71" t="s">
        <v>31</v>
      </c>
      <c r="AF75" s="71" t="s">
        <v>31</v>
      </c>
      <c r="AG75" s="71" t="s">
        <v>31</v>
      </c>
      <c r="AH75" s="71" t="s">
        <v>31</v>
      </c>
      <c r="AI75" s="71" t="s">
        <v>31</v>
      </c>
      <c r="AJ75" s="71" t="s">
        <v>31</v>
      </c>
      <c r="AK75" s="71" t="s">
        <v>31</v>
      </c>
      <c r="AL75" s="71" t="s">
        <v>31</v>
      </c>
      <c r="AM75" s="71" t="s">
        <v>31</v>
      </c>
      <c r="AN75" s="78" t="s">
        <v>31</v>
      </c>
      <c r="AO75" s="93">
        <v>8.0000000000000002E-3</v>
      </c>
      <c r="AP75" s="93">
        <v>8.0000000000000002E-3</v>
      </c>
      <c r="AQ75" s="77" t="s">
        <v>31</v>
      </c>
      <c r="AR75" s="77" t="s">
        <v>31</v>
      </c>
      <c r="AS75" s="71" t="s">
        <v>31</v>
      </c>
      <c r="AT75" s="71" t="s">
        <v>31</v>
      </c>
      <c r="AU75" s="71" t="s">
        <v>31</v>
      </c>
      <c r="AV75" s="93">
        <v>8.0000000000000002E-3</v>
      </c>
      <c r="AW75" s="93">
        <v>8.0000000000000002E-3</v>
      </c>
      <c r="AX75" s="77" t="s">
        <v>31</v>
      </c>
      <c r="AY75" s="77" t="s">
        <v>31</v>
      </c>
      <c r="AZ75" s="71" t="s">
        <v>31</v>
      </c>
      <c r="BA75" s="71" t="s">
        <v>31</v>
      </c>
    </row>
    <row r="78" spans="1:53" x14ac:dyDescent="0.2">
      <c r="A78" s="101" t="s">
        <v>125</v>
      </c>
      <c r="B78" s="102" t="s">
        <v>126</v>
      </c>
      <c r="R78" s="60"/>
      <c r="S78" s="60"/>
      <c r="T78" s="60"/>
      <c r="U78" s="60"/>
      <c r="V78" s="60"/>
      <c r="W78" s="58"/>
      <c r="X78" s="58"/>
      <c r="Y78" s="58"/>
      <c r="Z78" s="58"/>
      <c r="AA78" s="58"/>
    </row>
    <row r="79" spans="1:53" x14ac:dyDescent="0.2">
      <c r="A79" s="59" t="s">
        <v>98</v>
      </c>
      <c r="B79" s="59" t="s">
        <v>97</v>
      </c>
      <c r="C79" s="59" t="s">
        <v>22</v>
      </c>
      <c r="D79" s="59" t="s">
        <v>23</v>
      </c>
      <c r="E79" s="59" t="s">
        <v>28</v>
      </c>
      <c r="F79" s="59"/>
      <c r="R79" s="60"/>
      <c r="S79" s="60"/>
      <c r="T79" s="60"/>
      <c r="U79" s="60"/>
      <c r="V79" s="60"/>
      <c r="W79" s="58"/>
      <c r="X79" s="58"/>
      <c r="Y79" s="58"/>
      <c r="Z79" s="58"/>
      <c r="AA79" s="58"/>
    </row>
    <row r="80" spans="1:53" x14ac:dyDescent="0.2">
      <c r="A80" s="63" t="s">
        <v>90</v>
      </c>
      <c r="B80" s="103" t="s">
        <v>58</v>
      </c>
      <c r="C80" s="104">
        <v>4.9999999999999998E-8</v>
      </c>
      <c r="D80" s="104">
        <v>1E-8</v>
      </c>
      <c r="E80" s="104">
        <v>1.1000000000000001E-7</v>
      </c>
      <c r="F80" s="105"/>
      <c r="R80" s="60"/>
      <c r="S80" s="60"/>
      <c r="T80" s="60"/>
      <c r="U80" s="60"/>
      <c r="V80" s="60"/>
      <c r="W80" s="58"/>
      <c r="X80" s="58"/>
      <c r="Y80" s="58"/>
      <c r="Z80" s="58"/>
      <c r="AA80" s="58"/>
    </row>
    <row r="81" spans="1:27" x14ac:dyDescent="0.2">
      <c r="A81" s="63" t="s">
        <v>90</v>
      </c>
      <c r="B81" s="106" t="s">
        <v>59</v>
      </c>
      <c r="C81" s="104">
        <v>4.9999999999999998E-8</v>
      </c>
      <c r="D81" s="104">
        <v>1E-8</v>
      </c>
      <c r="E81" s="104">
        <v>1.1000000000000001E-7</v>
      </c>
      <c r="F81" s="105"/>
      <c r="R81" s="60"/>
      <c r="S81" s="60"/>
      <c r="T81" s="60"/>
      <c r="U81" s="60"/>
      <c r="V81" s="60"/>
      <c r="W81" s="58"/>
      <c r="X81" s="58"/>
      <c r="Y81" s="58"/>
      <c r="Z81" s="58"/>
      <c r="AA81" s="58"/>
    </row>
    <row r="82" spans="1:27" x14ac:dyDescent="0.2">
      <c r="A82" s="63" t="s">
        <v>90</v>
      </c>
      <c r="B82" s="106" t="s">
        <v>61</v>
      </c>
      <c r="C82" s="104">
        <v>4.9999999999999998E-8</v>
      </c>
      <c r="D82" s="104">
        <v>1E-8</v>
      </c>
      <c r="E82" s="104">
        <v>1.1000000000000001E-7</v>
      </c>
      <c r="F82" s="105"/>
      <c r="R82" s="60"/>
      <c r="S82" s="60"/>
      <c r="T82" s="60"/>
      <c r="U82" s="60"/>
      <c r="V82" s="60"/>
      <c r="W82" s="58"/>
      <c r="X82" s="58"/>
      <c r="Y82" s="58"/>
      <c r="Z82" s="58"/>
      <c r="AA82" s="58"/>
    </row>
    <row r="83" spans="1:27" x14ac:dyDescent="0.2">
      <c r="A83" s="63" t="s">
        <v>90</v>
      </c>
      <c r="B83" s="106" t="s">
        <v>60</v>
      </c>
      <c r="C83" s="104">
        <v>4.9999999999999998E-8</v>
      </c>
      <c r="D83" s="104">
        <v>1E-8</v>
      </c>
      <c r="E83" s="104">
        <v>1.1000000000000001E-7</v>
      </c>
      <c r="F83" s="105"/>
      <c r="R83" s="60"/>
      <c r="S83" s="60"/>
      <c r="T83" s="60"/>
      <c r="U83" s="60"/>
      <c r="V83" s="60"/>
      <c r="W83" s="58"/>
      <c r="X83" s="58"/>
      <c r="Y83" s="58"/>
      <c r="Z83" s="58"/>
      <c r="AA83" s="58"/>
    </row>
    <row r="84" spans="1:27" x14ac:dyDescent="0.2">
      <c r="A84" s="63" t="s">
        <v>90</v>
      </c>
      <c r="B84" s="106" t="s">
        <v>76</v>
      </c>
      <c r="C84" s="104">
        <v>4.9999999999999998E-8</v>
      </c>
      <c r="D84" s="104">
        <v>1E-8</v>
      </c>
      <c r="E84" s="104">
        <v>1.1000000000000001E-7</v>
      </c>
      <c r="F84" s="105"/>
      <c r="R84" s="60"/>
      <c r="S84" s="60"/>
      <c r="T84" s="60"/>
      <c r="U84" s="60"/>
      <c r="V84" s="60"/>
      <c r="W84" s="58"/>
      <c r="X84" s="58"/>
      <c r="Y84" s="58"/>
      <c r="Z84" s="58"/>
      <c r="AA84" s="58"/>
    </row>
    <row r="85" spans="1:27" x14ac:dyDescent="0.2">
      <c r="A85" s="63" t="s">
        <v>90</v>
      </c>
      <c r="B85" s="107" t="s">
        <v>62</v>
      </c>
      <c r="C85" s="104">
        <v>4.9999999999999998E-8</v>
      </c>
      <c r="D85" s="104">
        <v>1E-8</v>
      </c>
      <c r="E85" s="104">
        <v>1.1000000000000001E-7</v>
      </c>
      <c r="F85" s="105"/>
      <c r="R85" s="60"/>
      <c r="S85" s="60"/>
      <c r="T85" s="60"/>
      <c r="U85" s="60"/>
      <c r="V85" s="60"/>
      <c r="W85" s="58"/>
      <c r="X85" s="58"/>
      <c r="Y85" s="58"/>
      <c r="Z85" s="58"/>
      <c r="AA85" s="58"/>
    </row>
    <row r="86" spans="1:27" x14ac:dyDescent="0.2">
      <c r="A86" s="63" t="s">
        <v>90</v>
      </c>
      <c r="B86" s="107" t="s">
        <v>63</v>
      </c>
      <c r="C86" s="104">
        <v>4.9999999999999998E-8</v>
      </c>
      <c r="D86" s="104">
        <v>1E-8</v>
      </c>
      <c r="E86" s="104">
        <v>1.1000000000000001E-7</v>
      </c>
      <c r="F86" s="105"/>
      <c r="R86" s="60"/>
      <c r="S86" s="60"/>
      <c r="T86" s="60"/>
      <c r="U86" s="60"/>
      <c r="V86" s="60"/>
      <c r="W86" s="58"/>
      <c r="X86" s="58"/>
      <c r="Y86" s="58"/>
      <c r="Z86" s="58"/>
      <c r="AA86" s="58"/>
    </row>
    <row r="87" spans="1:27" x14ac:dyDescent="0.2">
      <c r="A87" s="63" t="s">
        <v>90</v>
      </c>
      <c r="B87" s="107" t="s">
        <v>65</v>
      </c>
      <c r="C87" s="104">
        <v>4.9999999999999998E-8</v>
      </c>
      <c r="D87" s="104">
        <v>1E-8</v>
      </c>
      <c r="E87" s="104">
        <v>1.1000000000000001E-7</v>
      </c>
      <c r="F87" s="105"/>
      <c r="R87" s="60"/>
      <c r="S87" s="60"/>
      <c r="T87" s="60"/>
      <c r="U87" s="60"/>
      <c r="V87" s="60"/>
      <c r="W87" s="58"/>
      <c r="X87" s="58"/>
      <c r="Y87" s="58"/>
      <c r="Z87" s="58"/>
      <c r="AA87" s="58"/>
    </row>
    <row r="88" spans="1:27" x14ac:dyDescent="0.2">
      <c r="A88" s="63" t="s">
        <v>89</v>
      </c>
      <c r="B88" s="106" t="s">
        <v>67</v>
      </c>
      <c r="C88" s="104">
        <v>5.0000000000000002E-5</v>
      </c>
      <c r="D88" s="104">
        <v>1.0000000000000001E-5</v>
      </c>
      <c r="E88" s="104">
        <v>1.1E-4</v>
      </c>
      <c r="F88" s="105"/>
      <c r="R88" s="60"/>
      <c r="S88" s="60"/>
      <c r="T88" s="60"/>
      <c r="U88" s="60"/>
      <c r="V88" s="60"/>
      <c r="W88" s="58"/>
      <c r="X88" s="58"/>
      <c r="Y88" s="58"/>
      <c r="Z88" s="58"/>
      <c r="AA88" s="58"/>
    </row>
    <row r="89" spans="1:27" x14ac:dyDescent="0.2">
      <c r="A89" s="63" t="s">
        <v>89</v>
      </c>
      <c r="B89" s="106" t="s">
        <v>68</v>
      </c>
      <c r="C89" s="104">
        <v>5.0000000000000002E-5</v>
      </c>
      <c r="D89" s="104">
        <v>1.0000000000000001E-5</v>
      </c>
      <c r="E89" s="104">
        <v>1.1E-4</v>
      </c>
      <c r="F89" s="105"/>
      <c r="R89" s="60"/>
      <c r="S89" s="60"/>
      <c r="T89" s="60"/>
      <c r="U89" s="60"/>
      <c r="V89" s="60"/>
      <c r="W89" s="58"/>
      <c r="X89" s="58"/>
      <c r="Y89" s="58"/>
      <c r="Z89" s="58"/>
      <c r="AA89" s="58"/>
    </row>
    <row r="90" spans="1:27" x14ac:dyDescent="0.2">
      <c r="A90" s="63" t="s">
        <v>88</v>
      </c>
      <c r="B90" s="106" t="s">
        <v>74</v>
      </c>
      <c r="C90" s="104">
        <v>5.0000000000000004E-6</v>
      </c>
      <c r="D90" s="104">
        <v>9.9999999999999995E-7</v>
      </c>
      <c r="E90" s="104">
        <v>1.0000000000000001E-5</v>
      </c>
      <c r="F90" s="105"/>
      <c r="R90" s="60"/>
      <c r="S90" s="60"/>
      <c r="T90" s="60"/>
      <c r="U90" s="60"/>
      <c r="V90" s="60"/>
      <c r="W90" s="58"/>
      <c r="X90" s="58"/>
      <c r="Y90" s="58"/>
      <c r="Z90" s="58"/>
      <c r="AA90" s="58"/>
    </row>
    <row r="91" spans="1:27" x14ac:dyDescent="0.2">
      <c r="A91" s="63" t="s">
        <v>88</v>
      </c>
      <c r="B91" s="106" t="s">
        <v>75</v>
      </c>
      <c r="C91" s="104">
        <v>5.0000000000000004E-6</v>
      </c>
      <c r="D91" s="104">
        <v>9.9999999999999995E-7</v>
      </c>
      <c r="E91" s="104">
        <v>1.0000000000000001E-5</v>
      </c>
      <c r="F91" s="105"/>
      <c r="R91" s="60"/>
      <c r="S91" s="60"/>
      <c r="T91" s="60"/>
      <c r="U91" s="60"/>
      <c r="V91" s="60"/>
      <c r="W91" s="58"/>
      <c r="X91" s="58"/>
      <c r="Y91" s="58"/>
      <c r="Z91" s="58"/>
      <c r="AA91" s="58"/>
    </row>
    <row r="92" spans="1:27" x14ac:dyDescent="0.2">
      <c r="A92" s="63" t="s">
        <v>87</v>
      </c>
      <c r="B92" s="106" t="s">
        <v>69</v>
      </c>
      <c r="C92" s="104">
        <v>1.9999999999999999E-11</v>
      </c>
      <c r="D92" s="104">
        <v>3.9999999999999999E-12</v>
      </c>
      <c r="E92" s="104">
        <v>4.5E-11</v>
      </c>
      <c r="F92" s="105"/>
      <c r="R92" s="60"/>
      <c r="S92" s="60"/>
      <c r="T92" s="60"/>
      <c r="U92" s="60"/>
      <c r="V92" s="60"/>
      <c r="W92" s="58"/>
      <c r="X92" s="58"/>
      <c r="Y92" s="58"/>
      <c r="Z92" s="58"/>
      <c r="AA92" s="58"/>
    </row>
    <row r="93" spans="1:27" x14ac:dyDescent="0.2">
      <c r="A93" s="63" t="s">
        <v>87</v>
      </c>
      <c r="B93" s="106" t="s">
        <v>70</v>
      </c>
      <c r="C93" s="104">
        <v>1.9999999999999999E-11</v>
      </c>
      <c r="D93" s="104">
        <v>3.9999999999999999E-12</v>
      </c>
      <c r="E93" s="104">
        <v>4.5E-11</v>
      </c>
      <c r="F93" s="105"/>
      <c r="R93" s="60"/>
      <c r="S93" s="60"/>
      <c r="T93" s="60"/>
      <c r="U93" s="60"/>
      <c r="V93" s="60"/>
      <c r="W93" s="58"/>
      <c r="X93" s="58"/>
      <c r="Y93" s="58"/>
      <c r="Z93" s="58"/>
      <c r="AA93" s="58"/>
    </row>
    <row r="94" spans="1:27" x14ac:dyDescent="0.2">
      <c r="A94" s="63" t="s">
        <v>87</v>
      </c>
      <c r="B94" s="106" t="s">
        <v>77</v>
      </c>
      <c r="C94" s="104">
        <v>1.9999999999999999E-11</v>
      </c>
      <c r="D94" s="104">
        <v>3.9999999999999999E-12</v>
      </c>
      <c r="E94" s="104">
        <v>4.5E-11</v>
      </c>
      <c r="F94" s="105"/>
      <c r="R94" s="60"/>
      <c r="S94" s="60"/>
      <c r="T94" s="60"/>
      <c r="U94" s="60"/>
      <c r="V94" s="60"/>
      <c r="W94" s="58"/>
      <c r="X94" s="58"/>
      <c r="Y94" s="58"/>
      <c r="Z94" s="58"/>
      <c r="AA94" s="58"/>
    </row>
    <row r="95" spans="1:27" x14ac:dyDescent="0.2">
      <c r="A95" s="63" t="s">
        <v>87</v>
      </c>
      <c r="B95" s="106" t="s">
        <v>71</v>
      </c>
      <c r="C95" s="104">
        <v>1.9999999999999999E-11</v>
      </c>
      <c r="D95" s="104">
        <v>3.9999999999999999E-12</v>
      </c>
      <c r="E95" s="104">
        <v>4.5E-11</v>
      </c>
      <c r="F95" s="105"/>
      <c r="R95" s="60"/>
      <c r="S95" s="60"/>
      <c r="T95" s="60"/>
      <c r="U95" s="60"/>
      <c r="V95" s="60"/>
      <c r="W95" s="58"/>
      <c r="X95" s="58"/>
      <c r="Y95" s="58"/>
      <c r="Z95" s="58"/>
      <c r="AA95" s="58"/>
    </row>
    <row r="96" spans="1:27" x14ac:dyDescent="0.2">
      <c r="A96" s="63" t="s">
        <v>87</v>
      </c>
      <c r="B96" s="106" t="s">
        <v>72</v>
      </c>
      <c r="C96" s="104">
        <v>3E-11</v>
      </c>
      <c r="D96" s="104">
        <v>6.0000000000000003E-12</v>
      </c>
      <c r="E96" s="104">
        <v>6.4999999999999995E-11</v>
      </c>
      <c r="F96" s="105"/>
      <c r="R96" s="60"/>
      <c r="S96" s="60"/>
      <c r="T96" s="60"/>
      <c r="U96" s="60"/>
      <c r="V96" s="60"/>
      <c r="W96" s="58"/>
      <c r="X96" s="58"/>
      <c r="Y96" s="58"/>
      <c r="Z96" s="58"/>
      <c r="AA96" s="58"/>
    </row>
    <row r="97" spans="1:27" x14ac:dyDescent="0.2">
      <c r="A97" s="63" t="s">
        <v>87</v>
      </c>
      <c r="B97" s="106" t="s">
        <v>73</v>
      </c>
      <c r="C97" s="104">
        <v>3E-11</v>
      </c>
      <c r="D97" s="104">
        <v>6.0000000000000003E-12</v>
      </c>
      <c r="E97" s="104">
        <v>6.4999999999999995E-11</v>
      </c>
      <c r="F97" s="105"/>
      <c r="R97" s="60"/>
      <c r="S97" s="60"/>
      <c r="T97" s="60"/>
      <c r="U97" s="60"/>
      <c r="V97" s="60"/>
      <c r="W97" s="58"/>
      <c r="X97" s="58"/>
      <c r="Y97" s="58"/>
      <c r="Z97" s="58"/>
      <c r="AA97" s="58"/>
    </row>
    <row r="98" spans="1:27" x14ac:dyDescent="0.2">
      <c r="A98" s="63" t="s">
        <v>90</v>
      </c>
      <c r="B98" s="107" t="s">
        <v>64</v>
      </c>
      <c r="C98" s="104">
        <v>1.9999999999999999E-7</v>
      </c>
      <c r="D98" s="104">
        <v>4.0000000000000001E-8</v>
      </c>
      <c r="E98" s="104">
        <v>4.4999999999999998E-7</v>
      </c>
      <c r="F98" s="105"/>
      <c r="R98" s="60"/>
      <c r="S98" s="60"/>
      <c r="T98" s="60"/>
      <c r="U98" s="60"/>
      <c r="V98" s="60"/>
      <c r="W98" s="58"/>
      <c r="X98" s="58"/>
      <c r="Y98" s="58"/>
      <c r="Z98" s="58"/>
      <c r="AA98" s="58"/>
    </row>
    <row r="99" spans="1:27" x14ac:dyDescent="0.2">
      <c r="A99" s="63" t="s">
        <v>90</v>
      </c>
      <c r="B99" s="107" t="s">
        <v>66</v>
      </c>
      <c r="C99" s="104">
        <v>1.9999999999999999E-7</v>
      </c>
      <c r="D99" s="104">
        <v>4.0000000000000001E-8</v>
      </c>
      <c r="E99" s="104">
        <v>4.4999999999999998E-7</v>
      </c>
      <c r="F99" s="105"/>
      <c r="R99" s="60"/>
      <c r="S99" s="60"/>
      <c r="T99" s="60"/>
      <c r="U99" s="60"/>
      <c r="V99" s="60"/>
      <c r="W99" s="58"/>
      <c r="X99" s="58"/>
      <c r="Y99" s="58"/>
      <c r="Z99" s="58"/>
      <c r="AA99" s="58"/>
    </row>
    <row r="100" spans="1:27" x14ac:dyDescent="0.2">
      <c r="A100" s="63" t="s">
        <v>91</v>
      </c>
      <c r="B100" s="107" t="s">
        <v>78</v>
      </c>
      <c r="C100" s="104">
        <v>5.0000000000000002E-11</v>
      </c>
      <c r="D100" s="104">
        <v>1.5E-11</v>
      </c>
      <c r="E100" s="104">
        <v>7.0000000000000004E-11</v>
      </c>
      <c r="F100" s="105"/>
      <c r="G100" s="58" t="s">
        <v>131</v>
      </c>
      <c r="K100" s="58" t="s">
        <v>132</v>
      </c>
      <c r="R100" s="60"/>
      <c r="S100" s="60"/>
      <c r="T100" s="60"/>
      <c r="U100" s="60"/>
      <c r="V100" s="60"/>
      <c r="W100" s="58"/>
      <c r="X100" s="58"/>
      <c r="Y100" s="58"/>
      <c r="Z100" s="58"/>
      <c r="AA100" s="58"/>
    </row>
    <row r="101" spans="1:27" x14ac:dyDescent="0.2">
      <c r="A101" s="63" t="s">
        <v>91</v>
      </c>
      <c r="B101" s="107" t="s">
        <v>79</v>
      </c>
      <c r="C101" s="104">
        <v>5.0000000000000002E-11</v>
      </c>
      <c r="D101" s="104">
        <v>1.5E-11</v>
      </c>
      <c r="E101" s="104">
        <v>7.0000000000000004E-11</v>
      </c>
      <c r="F101" s="105"/>
      <c r="G101" s="59" t="s">
        <v>97</v>
      </c>
      <c r="H101" s="59" t="s">
        <v>22</v>
      </c>
      <c r="I101" s="59" t="s">
        <v>23</v>
      </c>
      <c r="J101" s="59" t="s">
        <v>28</v>
      </c>
      <c r="K101" s="59" t="s">
        <v>97</v>
      </c>
      <c r="L101" s="59" t="s">
        <v>22</v>
      </c>
      <c r="M101" s="59" t="s">
        <v>23</v>
      </c>
      <c r="N101" s="59" t="s">
        <v>28</v>
      </c>
      <c r="R101" s="60"/>
      <c r="S101" s="60"/>
      <c r="T101" s="60"/>
      <c r="U101" s="60"/>
      <c r="V101" s="60"/>
      <c r="W101" s="58"/>
      <c r="X101" s="58"/>
      <c r="Y101" s="58"/>
      <c r="Z101" s="58"/>
      <c r="AA101" s="58"/>
    </row>
    <row r="102" spans="1:27" x14ac:dyDescent="0.2">
      <c r="A102" s="63" t="s">
        <v>92</v>
      </c>
      <c r="B102" s="107" t="s">
        <v>80</v>
      </c>
      <c r="C102" s="108">
        <f>IF(calculator!$B$13&lt;=-10, Data!H102, Data!L102)</f>
        <v>5.0000000000000003E-10</v>
      </c>
      <c r="D102" s="108">
        <f>IF(calculator!$B$13&lt;=-10, Data!I102, Data!M102)</f>
        <v>1.5E-10</v>
      </c>
      <c r="E102" s="108">
        <f>IF(calculator!$B$13&lt;=-10, Data!J102, Data!N102)</f>
        <v>6.9999999999999996E-10</v>
      </c>
      <c r="F102" s="105"/>
      <c r="G102" s="109" t="s">
        <v>80</v>
      </c>
      <c r="H102" s="108">
        <v>5.0000000000000003E-10</v>
      </c>
      <c r="I102" s="108">
        <v>1.5E-10</v>
      </c>
      <c r="J102" s="108">
        <v>6.9999999999999996E-10</v>
      </c>
      <c r="K102" s="109" t="s">
        <v>80</v>
      </c>
      <c r="L102" s="108">
        <v>4.9999999999999998E-7</v>
      </c>
      <c r="M102" s="108">
        <v>1.4999999999999999E-7</v>
      </c>
      <c r="N102" s="108">
        <v>4.9999999999999998E-7</v>
      </c>
      <c r="O102" s="110" t="s">
        <v>192</v>
      </c>
      <c r="R102" s="60"/>
      <c r="S102" s="60"/>
      <c r="T102" s="60"/>
      <c r="U102" s="60"/>
      <c r="V102" s="60"/>
      <c r="W102" s="58"/>
      <c r="X102" s="58"/>
      <c r="Y102" s="58"/>
      <c r="Z102" s="58"/>
      <c r="AA102" s="58"/>
    </row>
    <row r="103" spans="1:27" x14ac:dyDescent="0.2">
      <c r="A103" s="63" t="s">
        <v>92</v>
      </c>
      <c r="B103" s="107" t="s">
        <v>81</v>
      </c>
      <c r="C103" s="108">
        <f>IF(calculator!$B$13&lt;=-10, Data!H103, Data!L103)</f>
        <v>5.0000000000000003E-10</v>
      </c>
      <c r="D103" s="108">
        <f>IF(calculator!$B$13&lt;=-10, Data!I103, Data!M103)</f>
        <v>1.5E-10</v>
      </c>
      <c r="E103" s="108">
        <f>IF(calculator!$B$13&lt;=-10, Data!J103, Data!N103)</f>
        <v>6.9999999999999996E-10</v>
      </c>
      <c r="F103" s="105"/>
      <c r="G103" s="109" t="s">
        <v>81</v>
      </c>
      <c r="H103" s="108">
        <v>5.0000000000000003E-10</v>
      </c>
      <c r="I103" s="108">
        <v>1.5E-10</v>
      </c>
      <c r="J103" s="108">
        <v>6.9999999999999996E-10</v>
      </c>
      <c r="K103" s="109" t="s">
        <v>81</v>
      </c>
      <c r="L103" s="108">
        <v>4.9999999999999998E-7</v>
      </c>
      <c r="M103" s="108">
        <v>1.4999999999999999E-7</v>
      </c>
      <c r="N103" s="108">
        <v>4.9999999999999998E-7</v>
      </c>
      <c r="O103" s="110" t="s">
        <v>192</v>
      </c>
      <c r="R103" s="60"/>
      <c r="S103" s="60"/>
      <c r="T103" s="60"/>
      <c r="U103" s="60"/>
      <c r="V103" s="60"/>
      <c r="W103" s="58"/>
      <c r="X103" s="58"/>
      <c r="Y103" s="58"/>
      <c r="Z103" s="58"/>
      <c r="AA103" s="58"/>
    </row>
    <row r="104" spans="1:27" x14ac:dyDescent="0.2">
      <c r="A104" s="63" t="s">
        <v>92</v>
      </c>
      <c r="B104" s="107" t="s">
        <v>82</v>
      </c>
      <c r="C104" s="108">
        <f>IF(calculator!$B$13&lt;=-10, Data!H104, Data!L104)</f>
        <v>5.0000000000000003E-10</v>
      </c>
      <c r="D104" s="108">
        <f>IF(calculator!$B$13&lt;=-10, Data!I104, Data!M104)</f>
        <v>1.5E-10</v>
      </c>
      <c r="E104" s="108">
        <f>IF(calculator!$B$13&lt;=-10, Data!J104, Data!N104)</f>
        <v>6.9999999999999996E-10</v>
      </c>
      <c r="F104" s="105"/>
      <c r="G104" s="109" t="s">
        <v>82</v>
      </c>
      <c r="H104" s="108">
        <v>5.0000000000000003E-10</v>
      </c>
      <c r="I104" s="108">
        <v>1.5E-10</v>
      </c>
      <c r="J104" s="108">
        <v>6.9999999999999996E-10</v>
      </c>
      <c r="K104" s="109" t="s">
        <v>82</v>
      </c>
      <c r="L104" s="108">
        <v>4.9999999999999998E-7</v>
      </c>
      <c r="M104" s="108">
        <v>1.4999999999999999E-7</v>
      </c>
      <c r="N104" s="108">
        <v>4.9999999999999998E-7</v>
      </c>
      <c r="O104" s="110" t="s">
        <v>192</v>
      </c>
      <c r="R104" s="60"/>
      <c r="S104" s="60"/>
      <c r="T104" s="60"/>
      <c r="U104" s="60"/>
      <c r="V104" s="60"/>
      <c r="W104" s="58"/>
      <c r="X104" s="58"/>
      <c r="Y104" s="58"/>
      <c r="Z104" s="58"/>
      <c r="AA104" s="58"/>
    </row>
    <row r="105" spans="1:27" x14ac:dyDescent="0.2">
      <c r="A105" s="63" t="s">
        <v>93</v>
      </c>
      <c r="B105" s="107" t="s">
        <v>83</v>
      </c>
      <c r="C105" s="108">
        <f>IF(calculator!$B$13&lt;=20, Data!H105, Data!L105)</f>
        <v>4.9999999999999998E-7</v>
      </c>
      <c r="D105" s="108">
        <f>IF(calculator!$B$13&lt;=20, Data!I105, Data!M105)</f>
        <v>1.4999999999999999E-7</v>
      </c>
      <c r="E105" s="108">
        <f>IF(calculator!$B$13&lt;=20, Data!J105, Data!N105)</f>
        <v>6.9999999999999997E-7</v>
      </c>
      <c r="F105" s="105"/>
      <c r="G105" s="109" t="s">
        <v>83</v>
      </c>
      <c r="H105" s="108">
        <v>4.9999999999999998E-7</v>
      </c>
      <c r="I105" s="108">
        <v>1.4999999999999999E-7</v>
      </c>
      <c r="J105" s="108">
        <v>6.9999999999999997E-7</v>
      </c>
      <c r="K105" s="109" t="s">
        <v>83</v>
      </c>
      <c r="L105" s="108">
        <v>5.0000000000000001E-4</v>
      </c>
      <c r="M105" s="108">
        <v>1.4999999999999999E-4</v>
      </c>
      <c r="N105" s="108">
        <v>5.0000000000000001E-4</v>
      </c>
      <c r="O105" s="110" t="s">
        <v>192</v>
      </c>
      <c r="R105" s="60"/>
      <c r="S105" s="60"/>
      <c r="T105" s="60"/>
      <c r="U105" s="60"/>
      <c r="V105" s="60"/>
      <c r="W105" s="58"/>
      <c r="X105" s="58"/>
      <c r="Y105" s="58"/>
      <c r="Z105" s="58"/>
      <c r="AA105" s="58"/>
    </row>
    <row r="106" spans="1:27" x14ac:dyDescent="0.2">
      <c r="A106" s="63" t="s">
        <v>93</v>
      </c>
      <c r="B106" s="107" t="s">
        <v>84</v>
      </c>
      <c r="C106" s="108">
        <f>IF(calculator!$B$13&lt;=20, Data!H106, Data!L106)</f>
        <v>4.9999999999999998E-7</v>
      </c>
      <c r="D106" s="108">
        <f>IF(calculator!$B$13&lt;=20, Data!I106, Data!M106)</f>
        <v>1.4999999999999999E-7</v>
      </c>
      <c r="E106" s="108">
        <f>IF(calculator!$B$13&lt;=20, Data!J106, Data!N106)</f>
        <v>6.9999999999999997E-7</v>
      </c>
      <c r="F106" s="105"/>
      <c r="G106" s="109" t="s">
        <v>84</v>
      </c>
      <c r="H106" s="108">
        <v>4.9999999999999998E-7</v>
      </c>
      <c r="I106" s="108">
        <v>1.4999999999999999E-7</v>
      </c>
      <c r="J106" s="108">
        <v>6.9999999999999997E-7</v>
      </c>
      <c r="K106" s="109" t="s">
        <v>84</v>
      </c>
      <c r="L106" s="108">
        <v>5.0000000000000001E-4</v>
      </c>
      <c r="M106" s="108">
        <v>1.4999999999999999E-4</v>
      </c>
      <c r="N106" s="108">
        <v>5.0000000000000001E-4</v>
      </c>
      <c r="O106" s="110" t="s">
        <v>192</v>
      </c>
      <c r="R106" s="60"/>
      <c r="S106" s="60"/>
      <c r="T106" s="60"/>
      <c r="U106" s="60"/>
      <c r="V106" s="60"/>
      <c r="W106" s="58"/>
      <c r="X106" s="58"/>
      <c r="Y106" s="58"/>
      <c r="Z106" s="58"/>
      <c r="AA106" s="58"/>
    </row>
    <row r="107" spans="1:27" x14ac:dyDescent="0.2">
      <c r="A107" s="63" t="s">
        <v>94</v>
      </c>
      <c r="B107" s="107" t="s">
        <v>85</v>
      </c>
      <c r="C107" s="108">
        <f>IF(calculator!$B$13&lt;=-10, Data!H107, Data!L107)</f>
        <v>5.0000000000000001E-9</v>
      </c>
      <c r="D107" s="108">
        <f>IF(calculator!$B$13&lt;=-10, Data!I107, Data!M107)</f>
        <v>1.5E-9</v>
      </c>
      <c r="E107" s="108">
        <f>IF(calculator!$B$13&lt;=-10, Data!J107, Data!N107)</f>
        <v>6.9999999999999998E-9</v>
      </c>
      <c r="F107" s="105"/>
      <c r="G107" s="109" t="s">
        <v>85</v>
      </c>
      <c r="H107" s="108">
        <v>5.0000000000000001E-9</v>
      </c>
      <c r="I107" s="108">
        <v>1.5E-9</v>
      </c>
      <c r="J107" s="108">
        <v>6.9999999999999998E-9</v>
      </c>
      <c r="K107" s="109" t="s">
        <v>85</v>
      </c>
      <c r="L107" s="108">
        <v>5.0000000000000004E-6</v>
      </c>
      <c r="M107" s="108">
        <v>1.5E-6</v>
      </c>
      <c r="N107" s="108">
        <v>5.0000000000000004E-6</v>
      </c>
      <c r="O107" s="110" t="s">
        <v>192</v>
      </c>
      <c r="R107" s="60"/>
      <c r="S107" s="60"/>
      <c r="T107" s="60"/>
      <c r="U107" s="60"/>
      <c r="V107" s="60"/>
      <c r="W107" s="58"/>
      <c r="X107" s="58"/>
      <c r="Y107" s="58"/>
      <c r="Z107" s="58"/>
      <c r="AA107" s="58"/>
    </row>
    <row r="108" spans="1:27" x14ac:dyDescent="0.2">
      <c r="A108" s="63" t="s">
        <v>94</v>
      </c>
      <c r="B108" s="107" t="s">
        <v>86</v>
      </c>
      <c r="C108" s="108">
        <f>IF(calculator!$B$13&lt;=-10, Data!H108, Data!L108)</f>
        <v>5.0000000000000001E-9</v>
      </c>
      <c r="D108" s="108">
        <f>IF(calculator!$B$13&lt;=-10, Data!I108, Data!M108)</f>
        <v>1.5E-9</v>
      </c>
      <c r="E108" s="108">
        <f>IF(calculator!$B$13&lt;=-10, Data!J108, Data!N108)</f>
        <v>6.9999999999999998E-9</v>
      </c>
      <c r="F108" s="105"/>
      <c r="G108" s="109" t="s">
        <v>86</v>
      </c>
      <c r="H108" s="108">
        <v>5.0000000000000001E-9</v>
      </c>
      <c r="I108" s="108">
        <v>1.5E-9</v>
      </c>
      <c r="J108" s="108">
        <v>6.9999999999999998E-9</v>
      </c>
      <c r="K108" s="109" t="s">
        <v>86</v>
      </c>
      <c r="L108" s="108">
        <v>5.0000000000000004E-6</v>
      </c>
      <c r="M108" s="108">
        <v>1.5E-6</v>
      </c>
      <c r="N108" s="108">
        <v>5.0000000000000004E-6</v>
      </c>
      <c r="O108" s="110" t="s">
        <v>192</v>
      </c>
      <c r="R108" s="60"/>
      <c r="S108" s="60"/>
      <c r="T108" s="60"/>
      <c r="U108" s="60"/>
      <c r="V108" s="60"/>
      <c r="W108" s="58"/>
      <c r="X108" s="58"/>
      <c r="Y108" s="58"/>
      <c r="Z108" s="58"/>
      <c r="AA108" s="58"/>
    </row>
    <row r="109" spans="1:27" x14ac:dyDescent="0.2">
      <c r="A109" s="63" t="s">
        <v>127</v>
      </c>
      <c r="B109" s="111" t="s">
        <v>48</v>
      </c>
      <c r="C109" s="112">
        <f>IF(calculator!B13&lt;=-1, Data!H109, Data!L109)</f>
        <v>2.4999999999999999E-8</v>
      </c>
      <c r="D109" s="112">
        <f>IF(calculator!B13&lt;=-1, Data!I109, Data!M109)</f>
        <v>3E-9</v>
      </c>
      <c r="E109" s="112">
        <f>IF(calculator!B13&lt;=-1, Data!J109, Data!N109)</f>
        <v>8.0000000000000002E-8</v>
      </c>
      <c r="F109" s="105"/>
      <c r="G109" s="113" t="s">
        <v>48</v>
      </c>
      <c r="H109" s="114">
        <v>2.4999999999999999E-8</v>
      </c>
      <c r="I109" s="114">
        <v>3E-9</v>
      </c>
      <c r="J109" s="114">
        <v>8.0000000000000002E-8</v>
      </c>
      <c r="K109" s="113" t="s">
        <v>48</v>
      </c>
      <c r="L109" s="114">
        <v>6.2999999999999995E-8</v>
      </c>
      <c r="M109" s="114">
        <v>6.9999999999999998E-9</v>
      </c>
      <c r="N109" s="114">
        <v>1.14E-7</v>
      </c>
      <c r="O109" s="110" t="s">
        <v>192</v>
      </c>
      <c r="R109" s="60"/>
      <c r="S109" s="60"/>
      <c r="T109" s="60"/>
      <c r="U109" s="60"/>
      <c r="V109" s="60"/>
      <c r="W109" s="58"/>
      <c r="X109" s="58"/>
      <c r="Y109" s="58"/>
      <c r="Z109" s="58"/>
      <c r="AA109" s="58"/>
    </row>
    <row r="110" spans="1:27" x14ac:dyDescent="0.2">
      <c r="A110" s="63" t="s">
        <v>127</v>
      </c>
      <c r="B110" s="111" t="s">
        <v>49</v>
      </c>
      <c r="C110" s="112">
        <f>IF(calculator!B13&lt;=-1, Data!H110, Data!L110)</f>
        <v>2.4999999999999999E-8</v>
      </c>
      <c r="D110" s="112">
        <f>IF(calculator!B13&lt;=-1, Data!I110, Data!M110)</f>
        <v>3E-9</v>
      </c>
      <c r="E110" s="112">
        <f>IF(calculator!B13&lt;=-1, Data!J110, Data!N110)</f>
        <v>8.0000000000000002E-8</v>
      </c>
      <c r="F110" s="105"/>
      <c r="G110" s="113" t="s">
        <v>49</v>
      </c>
      <c r="H110" s="114">
        <v>2.4999999999999999E-8</v>
      </c>
      <c r="I110" s="114">
        <v>3E-9</v>
      </c>
      <c r="J110" s="114">
        <v>8.0000000000000002E-8</v>
      </c>
      <c r="K110" s="113" t="s">
        <v>49</v>
      </c>
      <c r="L110" s="114">
        <v>6.2999999999999995E-8</v>
      </c>
      <c r="M110" s="114">
        <v>6.9999999999999998E-9</v>
      </c>
      <c r="N110" s="114">
        <v>1.14E-7</v>
      </c>
      <c r="O110" s="110" t="s">
        <v>192</v>
      </c>
      <c r="R110" s="60"/>
      <c r="S110" s="60"/>
      <c r="T110" s="60"/>
      <c r="U110" s="60"/>
      <c r="V110" s="60"/>
      <c r="W110" s="58"/>
      <c r="X110" s="58"/>
      <c r="Y110" s="58"/>
      <c r="Z110" s="58"/>
      <c r="AA110" s="58"/>
    </row>
    <row r="111" spans="1:27" x14ac:dyDescent="0.2">
      <c r="A111" s="63" t="s">
        <v>127</v>
      </c>
      <c r="B111" s="111" t="s">
        <v>50</v>
      </c>
      <c r="C111" s="112">
        <f>IF(calculator!B13&lt;=-1, Data!H111, Data!L111)</f>
        <v>2.4999999999999999E-8</v>
      </c>
      <c r="D111" s="112">
        <f>IF(calculator!B13&lt;=-1, Data!I111, Data!M111)</f>
        <v>3E-9</v>
      </c>
      <c r="E111" s="112">
        <f>IF(calculator!B13&lt;=-1, Data!J111, Data!N111)</f>
        <v>8.0000000000000002E-8</v>
      </c>
      <c r="F111" s="105"/>
      <c r="G111" s="113" t="s">
        <v>50</v>
      </c>
      <c r="H111" s="114">
        <v>2.4999999999999999E-8</v>
      </c>
      <c r="I111" s="114">
        <v>3E-9</v>
      </c>
      <c r="J111" s="114">
        <v>8.0000000000000002E-8</v>
      </c>
      <c r="K111" s="113" t="s">
        <v>50</v>
      </c>
      <c r="L111" s="114">
        <v>6.2999999999999995E-8</v>
      </c>
      <c r="M111" s="114">
        <v>6.9999999999999998E-9</v>
      </c>
      <c r="N111" s="114">
        <v>1.14E-7</v>
      </c>
      <c r="O111" s="110" t="s">
        <v>192</v>
      </c>
      <c r="R111" s="60"/>
      <c r="S111" s="60"/>
      <c r="T111" s="60"/>
      <c r="U111" s="60"/>
      <c r="V111" s="60"/>
      <c r="W111" s="58"/>
      <c r="X111" s="58"/>
      <c r="Y111" s="58"/>
      <c r="Z111" s="58"/>
      <c r="AA111" s="58"/>
    </row>
    <row r="112" spans="1:27" x14ac:dyDescent="0.2">
      <c r="A112" s="63" t="s">
        <v>90</v>
      </c>
      <c r="B112" s="107" t="s">
        <v>54</v>
      </c>
      <c r="C112" s="104">
        <v>6.2999999999999995E-8</v>
      </c>
      <c r="D112" s="104">
        <v>6.9999999999999998E-9</v>
      </c>
      <c r="E112" s="104">
        <v>1.14E-7</v>
      </c>
      <c r="F112" s="105"/>
      <c r="R112" s="60"/>
      <c r="S112" s="60"/>
      <c r="T112" s="60"/>
      <c r="U112" s="60"/>
      <c r="V112" s="60"/>
      <c r="W112" s="58"/>
      <c r="X112" s="58"/>
      <c r="Y112" s="58"/>
      <c r="Z112" s="58"/>
      <c r="AA112" s="58"/>
    </row>
    <row r="113" spans="1:27" x14ac:dyDescent="0.2">
      <c r="A113" s="63" t="s">
        <v>90</v>
      </c>
      <c r="B113" s="107" t="s">
        <v>55</v>
      </c>
      <c r="C113" s="104">
        <v>6.2999999999999995E-8</v>
      </c>
      <c r="D113" s="104">
        <v>6.9999999999999998E-9</v>
      </c>
      <c r="E113" s="104">
        <v>1.14E-7</v>
      </c>
      <c r="F113" s="105"/>
      <c r="R113" s="60"/>
      <c r="S113" s="60"/>
      <c r="T113" s="60"/>
      <c r="U113" s="60"/>
      <c r="V113" s="60"/>
      <c r="W113" s="58"/>
      <c r="X113" s="58"/>
      <c r="Y113" s="58"/>
      <c r="Z113" s="58"/>
      <c r="AA113" s="58"/>
    </row>
    <row r="114" spans="1:27" x14ac:dyDescent="0.2">
      <c r="A114" s="63" t="s">
        <v>90</v>
      </c>
      <c r="B114" s="107" t="s">
        <v>56</v>
      </c>
      <c r="C114" s="104">
        <v>6.2999999999999995E-8</v>
      </c>
      <c r="D114" s="104">
        <v>6.9999999999999998E-9</v>
      </c>
      <c r="E114" s="104">
        <v>1.14E-7</v>
      </c>
      <c r="F114" s="105"/>
      <c r="R114" s="60"/>
      <c r="S114" s="60"/>
      <c r="T114" s="60"/>
      <c r="U114" s="60"/>
      <c r="V114" s="60"/>
      <c r="W114" s="58"/>
      <c r="X114" s="58"/>
      <c r="Y114" s="58"/>
      <c r="Z114" s="58"/>
      <c r="AA114" s="58"/>
    </row>
    <row r="115" spans="1:27" x14ac:dyDescent="0.2">
      <c r="A115" s="115" t="s">
        <v>127</v>
      </c>
      <c r="B115" s="116" t="s">
        <v>111</v>
      </c>
      <c r="C115" s="112">
        <f>IF(calculator!B13&lt;=-1, Data!H115, Data!L115)</f>
        <v>2.4999999999999999E-8</v>
      </c>
      <c r="D115" s="112">
        <f>IF(calculator!B13&lt;=-1, Data!I115, Data!M115)</f>
        <v>3E-9</v>
      </c>
      <c r="E115" s="112">
        <f>IF(calculator!B13&lt;=-1, Data!J115, Data!N115)</f>
        <v>8.0000000000000002E-8</v>
      </c>
      <c r="F115" s="105"/>
      <c r="G115" s="116" t="s">
        <v>111</v>
      </c>
      <c r="H115" s="117">
        <v>2.4999999999999999E-8</v>
      </c>
      <c r="I115" s="117">
        <v>3E-9</v>
      </c>
      <c r="J115" s="117">
        <v>8.0000000000000002E-8</v>
      </c>
      <c r="K115" s="118" t="s">
        <v>111</v>
      </c>
      <c r="L115" s="114">
        <v>6.2999999999999995E-8</v>
      </c>
      <c r="M115" s="114">
        <v>6.9999999999999998E-9</v>
      </c>
      <c r="N115" s="114">
        <v>1.14E-7</v>
      </c>
      <c r="R115" s="60"/>
      <c r="S115" s="60"/>
      <c r="T115" s="60"/>
      <c r="U115" s="60"/>
      <c r="V115" s="60"/>
      <c r="W115" s="58"/>
      <c r="X115" s="58"/>
      <c r="Y115" s="58"/>
      <c r="Z115" s="58"/>
      <c r="AA115" s="58"/>
    </row>
    <row r="116" spans="1:27" x14ac:dyDescent="0.2">
      <c r="A116" s="115" t="s">
        <v>127</v>
      </c>
      <c r="B116" s="119" t="s">
        <v>193</v>
      </c>
      <c r="C116" s="108">
        <f>IF(calculator!B13&lt;=-1, Data!H116, Data!L116)</f>
        <v>2.4999999999999999E-8</v>
      </c>
      <c r="D116" s="108">
        <f>IF(calculator!B13&lt;=-1, Data!I116, Data!M116)</f>
        <v>3E-9</v>
      </c>
      <c r="E116" s="108">
        <f>IF(calculator!B13&lt;=-1, Data!J116, Data!N116)</f>
        <v>8.0000000000000002E-8</v>
      </c>
      <c r="F116" s="120"/>
      <c r="G116" s="119" t="s">
        <v>193</v>
      </c>
      <c r="H116" s="121">
        <v>2.4999999999999999E-8</v>
      </c>
      <c r="I116" s="121">
        <v>3E-9</v>
      </c>
      <c r="J116" s="121">
        <v>8.0000000000000002E-8</v>
      </c>
      <c r="K116" s="109" t="s">
        <v>193</v>
      </c>
      <c r="L116" s="108">
        <v>6.2999999999999995E-8</v>
      </c>
      <c r="M116" s="108">
        <v>6.9999999999999998E-9</v>
      </c>
      <c r="N116" s="108">
        <v>1.14E-7</v>
      </c>
      <c r="R116" s="60"/>
      <c r="S116" s="60"/>
      <c r="T116" s="60"/>
      <c r="U116" s="60"/>
      <c r="V116" s="60"/>
      <c r="W116" s="58"/>
      <c r="X116" s="58"/>
      <c r="Y116" s="58"/>
      <c r="Z116" s="58"/>
      <c r="AA116" s="58"/>
    </row>
    <row r="117" spans="1:27" x14ac:dyDescent="0.2">
      <c r="A117" s="122" t="s">
        <v>128</v>
      </c>
      <c r="B117" s="118" t="s">
        <v>112</v>
      </c>
      <c r="C117" s="112">
        <f>IF(calculator!B13&lt;=29, Data!H117, Data!L117)</f>
        <v>2.5000000000000001E-5</v>
      </c>
      <c r="D117" s="112">
        <f>IF(calculator!B13&lt;=29, Data!I117, Data!M117)</f>
        <v>3.0000000000000001E-6</v>
      </c>
      <c r="E117" s="112">
        <f>IF(calculator!B13&lt;=29, Data!J117, Data!N117)</f>
        <v>8.0000000000000007E-5</v>
      </c>
      <c r="F117" s="105"/>
      <c r="G117" s="118" t="s">
        <v>112</v>
      </c>
      <c r="H117" s="114">
        <v>2.5000000000000001E-5</v>
      </c>
      <c r="I117" s="114">
        <v>3.0000000000000001E-6</v>
      </c>
      <c r="J117" s="114">
        <v>8.0000000000000007E-5</v>
      </c>
      <c r="K117" s="118" t="s">
        <v>112</v>
      </c>
      <c r="L117" s="114">
        <v>6.3E-5</v>
      </c>
      <c r="M117" s="114">
        <v>6.9999999999999999E-6</v>
      </c>
      <c r="N117" s="114">
        <v>1.1400000000000001E-4</v>
      </c>
      <c r="R117" s="60"/>
      <c r="S117" s="60"/>
      <c r="T117" s="60"/>
      <c r="U117" s="60"/>
      <c r="V117" s="60"/>
      <c r="W117" s="58"/>
      <c r="X117" s="58"/>
      <c r="Y117" s="58"/>
      <c r="Z117" s="58"/>
      <c r="AA117" s="58"/>
    </row>
    <row r="118" spans="1:27" x14ac:dyDescent="0.2">
      <c r="A118" s="122" t="s">
        <v>128</v>
      </c>
      <c r="B118" s="118" t="s">
        <v>113</v>
      </c>
      <c r="C118" s="112">
        <f>IF(calculator!B13&lt;=29, Data!H118, Data!L118)</f>
        <v>2.5000000000000001E-5</v>
      </c>
      <c r="D118" s="112">
        <f>IF(calculator!B13&lt;=29, Data!I118, Data!M118)</f>
        <v>3.0000000000000001E-6</v>
      </c>
      <c r="E118" s="112">
        <f>IF(calculator!B13&lt;=29, Data!J118, Data!N118)</f>
        <v>8.0000000000000007E-5</v>
      </c>
      <c r="F118" s="105"/>
      <c r="G118" s="118" t="s">
        <v>113</v>
      </c>
      <c r="H118" s="114">
        <v>2.5000000000000001E-5</v>
      </c>
      <c r="I118" s="114">
        <v>3.0000000000000001E-6</v>
      </c>
      <c r="J118" s="114">
        <v>8.0000000000000007E-5</v>
      </c>
      <c r="K118" s="118" t="s">
        <v>113</v>
      </c>
      <c r="L118" s="114">
        <v>6.3E-5</v>
      </c>
      <c r="M118" s="114">
        <v>6.9999999999999999E-6</v>
      </c>
      <c r="N118" s="114">
        <v>1.1400000000000001E-4</v>
      </c>
      <c r="R118" s="60"/>
      <c r="S118" s="60"/>
      <c r="T118" s="60"/>
      <c r="U118" s="60"/>
      <c r="V118" s="60"/>
      <c r="W118" s="58"/>
      <c r="X118" s="58"/>
      <c r="Y118" s="58"/>
      <c r="Z118" s="58"/>
      <c r="AA118" s="58"/>
    </row>
    <row r="119" spans="1:27" x14ac:dyDescent="0.2">
      <c r="A119" s="122" t="s">
        <v>129</v>
      </c>
      <c r="B119" s="118" t="s">
        <v>114</v>
      </c>
      <c r="C119" s="112">
        <f>IF(calculator!B13&lt;=17, Data!H119, Data!L119)</f>
        <v>2.5000000000000002E-6</v>
      </c>
      <c r="D119" s="112">
        <f>IF(calculator!B13&lt;=17, Data!I119, Data!M119)</f>
        <v>2.9999999999999999E-7</v>
      </c>
      <c r="E119" s="112">
        <f>IF(calculator!B13&lt;=17, Data!J119, Data!N119)</f>
        <v>7.9999999999999996E-6</v>
      </c>
      <c r="F119" s="105"/>
      <c r="G119" s="118" t="s">
        <v>114</v>
      </c>
      <c r="H119" s="114">
        <v>2.5000000000000002E-6</v>
      </c>
      <c r="I119" s="114">
        <v>2.9999999999999999E-7</v>
      </c>
      <c r="J119" s="114">
        <v>7.9999999999999996E-6</v>
      </c>
      <c r="K119" s="118" t="s">
        <v>114</v>
      </c>
      <c r="L119" s="114">
        <v>6.2999999999999998E-6</v>
      </c>
      <c r="M119" s="114">
        <v>6.9999999999999997E-7</v>
      </c>
      <c r="N119" s="114">
        <v>1.1399999999999999E-5</v>
      </c>
      <c r="R119" s="60"/>
      <c r="S119" s="60"/>
      <c r="T119" s="60"/>
      <c r="U119" s="60"/>
      <c r="V119" s="60"/>
      <c r="W119" s="58"/>
      <c r="X119" s="58"/>
      <c r="Y119" s="58"/>
      <c r="Z119" s="58"/>
      <c r="AA119" s="58"/>
    </row>
    <row r="120" spans="1:27" x14ac:dyDescent="0.2">
      <c r="A120" s="122" t="s">
        <v>129</v>
      </c>
      <c r="B120" s="118" t="s">
        <v>115</v>
      </c>
      <c r="C120" s="112">
        <f>IF(calculator!B13&lt;=17, Data!H120, Data!L120)</f>
        <v>2.5000000000000002E-6</v>
      </c>
      <c r="D120" s="112">
        <f>IF(calculator!B13&lt;=17, Data!I120, Data!M120)</f>
        <v>2.9999999999999999E-7</v>
      </c>
      <c r="E120" s="112">
        <f>IF(calculator!B13&lt;=17, Data!J120, Data!N120)</f>
        <v>7.9999999999999996E-6</v>
      </c>
      <c r="F120" s="105"/>
      <c r="G120" s="118" t="s">
        <v>115</v>
      </c>
      <c r="H120" s="114">
        <v>2.5000000000000002E-6</v>
      </c>
      <c r="I120" s="114">
        <v>2.9999999999999999E-7</v>
      </c>
      <c r="J120" s="114">
        <v>7.9999999999999996E-6</v>
      </c>
      <c r="K120" s="118" t="s">
        <v>115</v>
      </c>
      <c r="L120" s="114">
        <v>6.2999999999999998E-6</v>
      </c>
      <c r="M120" s="114">
        <v>6.9999999999999997E-7</v>
      </c>
      <c r="N120" s="114">
        <v>1.1399999999999999E-5</v>
      </c>
      <c r="R120" s="60"/>
      <c r="S120" s="60"/>
      <c r="T120" s="60"/>
      <c r="U120" s="60"/>
      <c r="V120" s="60"/>
      <c r="W120" s="58"/>
      <c r="X120" s="58"/>
      <c r="Y120" s="58"/>
      <c r="Z120" s="58"/>
      <c r="AA120" s="58"/>
    </row>
    <row r="121" spans="1:27" x14ac:dyDescent="0.2">
      <c r="A121" s="63" t="s">
        <v>127</v>
      </c>
      <c r="B121" s="118" t="s">
        <v>116</v>
      </c>
      <c r="C121" s="112">
        <f>IF(calculator!B13&lt;=-1, Data!H121, Data!L121)</f>
        <v>2.4999999999999999E-8</v>
      </c>
      <c r="D121" s="112">
        <f>IF(calculator!B13&lt;=-1, Data!I121, Data!M121)</f>
        <v>3E-9</v>
      </c>
      <c r="E121" s="112">
        <f>IF(calculator!B13&lt;=-1, Data!J121, Data!N121)</f>
        <v>8.0000000000000002E-8</v>
      </c>
      <c r="F121" s="105"/>
      <c r="G121" s="118" t="s">
        <v>116</v>
      </c>
      <c r="H121" s="112">
        <v>2.4999999999999999E-8</v>
      </c>
      <c r="I121" s="112">
        <v>3E-9</v>
      </c>
      <c r="J121" s="112">
        <v>8.0000000000000002E-8</v>
      </c>
      <c r="K121" s="118" t="s">
        <v>116</v>
      </c>
      <c r="L121" s="114">
        <v>6.2999999999999995E-8</v>
      </c>
      <c r="M121" s="114">
        <v>6.9999999999999998E-9</v>
      </c>
      <c r="N121" s="114">
        <v>1.14E-7</v>
      </c>
      <c r="R121" s="60"/>
      <c r="S121" s="60"/>
      <c r="T121" s="60"/>
      <c r="U121" s="60"/>
      <c r="V121" s="60"/>
      <c r="W121" s="58"/>
      <c r="X121" s="58"/>
      <c r="Y121" s="58"/>
      <c r="Z121" s="58"/>
      <c r="AA121" s="58"/>
    </row>
    <row r="122" spans="1:27" x14ac:dyDescent="0.2">
      <c r="A122" s="63" t="s">
        <v>127</v>
      </c>
      <c r="B122" s="118" t="s">
        <v>117</v>
      </c>
      <c r="C122" s="112">
        <f>IF(calculator!B13&lt;=-1, Data!H122, Data!L122)</f>
        <v>2.4999999999999999E-8</v>
      </c>
      <c r="D122" s="112">
        <f>IF(calculator!B13&lt;=-1, Data!I122, Data!M122)</f>
        <v>3E-9</v>
      </c>
      <c r="E122" s="112">
        <f>IF(calculator!B13&lt;=-1, Data!J122, Data!N122)</f>
        <v>8.0000000000000002E-8</v>
      </c>
      <c r="F122" s="105"/>
      <c r="G122" s="118" t="s">
        <v>117</v>
      </c>
      <c r="H122" s="112">
        <v>2.4999999999999999E-8</v>
      </c>
      <c r="I122" s="112">
        <v>3E-9</v>
      </c>
      <c r="J122" s="112">
        <v>8.0000000000000002E-8</v>
      </c>
      <c r="K122" s="118" t="s">
        <v>117</v>
      </c>
      <c r="L122" s="114">
        <v>6.2999999999999995E-8</v>
      </c>
      <c r="M122" s="114">
        <v>6.9999999999999998E-9</v>
      </c>
      <c r="N122" s="114">
        <v>1.14E-7</v>
      </c>
      <c r="R122" s="60"/>
      <c r="S122" s="60"/>
      <c r="T122" s="60"/>
      <c r="U122" s="60"/>
      <c r="V122" s="60"/>
      <c r="W122" s="58"/>
      <c r="X122" s="58"/>
      <c r="Y122" s="58"/>
      <c r="Z122" s="58"/>
      <c r="AA122" s="58"/>
    </row>
    <row r="123" spans="1:27" x14ac:dyDescent="0.2">
      <c r="A123" s="122" t="s">
        <v>90</v>
      </c>
      <c r="B123" s="107" t="s">
        <v>118</v>
      </c>
      <c r="C123" s="104">
        <v>6.2999999999999995E-8</v>
      </c>
      <c r="D123" s="104">
        <v>6.9999999999999998E-9</v>
      </c>
      <c r="E123" s="104">
        <v>1.14E-7</v>
      </c>
      <c r="F123" s="105"/>
      <c r="R123" s="60"/>
      <c r="S123" s="60"/>
      <c r="T123" s="60"/>
      <c r="U123" s="60"/>
      <c r="V123" s="60"/>
      <c r="W123" s="58"/>
      <c r="X123" s="58"/>
      <c r="Y123" s="58"/>
      <c r="Z123" s="58"/>
      <c r="AA123" s="58"/>
    </row>
    <row r="124" spans="1:27" x14ac:dyDescent="0.2">
      <c r="A124" s="122" t="s">
        <v>130</v>
      </c>
      <c r="B124" s="107" t="s">
        <v>119</v>
      </c>
      <c r="C124" s="104">
        <v>6.3E-5</v>
      </c>
      <c r="D124" s="104">
        <v>6.9999999999999999E-6</v>
      </c>
      <c r="E124" s="104">
        <v>1.1400000000000001E-4</v>
      </c>
      <c r="F124" s="105"/>
      <c r="R124" s="60"/>
      <c r="S124" s="60"/>
      <c r="T124" s="60"/>
      <c r="U124" s="60"/>
      <c r="V124" s="60"/>
      <c r="W124" s="58"/>
      <c r="X124" s="58"/>
      <c r="Y124" s="58"/>
      <c r="Z124" s="58"/>
      <c r="AA124" s="58"/>
    </row>
    <row r="125" spans="1:27" x14ac:dyDescent="0.2">
      <c r="A125" s="122" t="s">
        <v>130</v>
      </c>
      <c r="B125" s="107" t="s">
        <v>120</v>
      </c>
      <c r="C125" s="104">
        <v>6.3E-5</v>
      </c>
      <c r="D125" s="104">
        <v>6.9999999999999999E-6</v>
      </c>
      <c r="E125" s="104">
        <v>1.1400000000000001E-4</v>
      </c>
      <c r="F125" s="105"/>
      <c r="R125" s="60"/>
      <c r="S125" s="60"/>
      <c r="T125" s="60"/>
      <c r="U125" s="60"/>
      <c r="V125" s="60"/>
      <c r="W125" s="58"/>
      <c r="X125" s="58"/>
      <c r="Y125" s="58"/>
      <c r="Z125" s="58"/>
      <c r="AA125" s="58"/>
    </row>
    <row r="126" spans="1:27" x14ac:dyDescent="0.2">
      <c r="A126" s="122" t="s">
        <v>88</v>
      </c>
      <c r="B126" s="107" t="s">
        <v>121</v>
      </c>
      <c r="C126" s="104">
        <v>6.2999999999999998E-6</v>
      </c>
      <c r="D126" s="104">
        <v>6.9999999999999997E-7</v>
      </c>
      <c r="E126" s="104">
        <v>1.1399999999999999E-5</v>
      </c>
      <c r="F126" s="105"/>
      <c r="R126" s="60"/>
      <c r="S126" s="60"/>
      <c r="T126" s="60"/>
      <c r="U126" s="60"/>
      <c r="V126" s="60"/>
      <c r="W126" s="58"/>
      <c r="X126" s="58"/>
      <c r="Y126" s="58"/>
      <c r="Z126" s="58"/>
      <c r="AA126" s="58"/>
    </row>
    <row r="127" spans="1:27" x14ac:dyDescent="0.2">
      <c r="A127" s="122" t="s">
        <v>88</v>
      </c>
      <c r="B127" s="107" t="s">
        <v>122</v>
      </c>
      <c r="C127" s="104">
        <v>6.2999999999999998E-6</v>
      </c>
      <c r="D127" s="104">
        <v>6.9999999999999997E-7</v>
      </c>
      <c r="E127" s="104">
        <v>1.1399999999999999E-5</v>
      </c>
      <c r="F127" s="105"/>
      <c r="R127" s="60"/>
      <c r="S127" s="60"/>
      <c r="T127" s="60"/>
      <c r="U127" s="60"/>
      <c r="V127" s="60"/>
      <c r="W127" s="58"/>
      <c r="X127" s="58"/>
      <c r="Y127" s="58"/>
      <c r="Z127" s="58"/>
      <c r="AA127" s="58"/>
    </row>
    <row r="128" spans="1:27" x14ac:dyDescent="0.2">
      <c r="A128" s="122" t="s">
        <v>90</v>
      </c>
      <c r="B128" s="107" t="s">
        <v>123</v>
      </c>
      <c r="C128" s="104">
        <v>6.2999999999999995E-8</v>
      </c>
      <c r="D128" s="104">
        <v>6.9999999999999998E-9</v>
      </c>
      <c r="E128" s="104">
        <v>1.14E-7</v>
      </c>
      <c r="F128" s="105"/>
      <c r="R128" s="60"/>
      <c r="S128" s="60"/>
      <c r="T128" s="60"/>
      <c r="U128" s="60"/>
      <c r="V128" s="60"/>
      <c r="W128" s="58"/>
      <c r="X128" s="58"/>
      <c r="Y128" s="58"/>
      <c r="Z128" s="58"/>
      <c r="AA128" s="58"/>
    </row>
    <row r="129" spans="1:27" x14ac:dyDescent="0.2">
      <c r="A129" s="122" t="s">
        <v>90</v>
      </c>
      <c r="B129" s="107" t="s">
        <v>124</v>
      </c>
      <c r="C129" s="104">
        <v>6.2999999999999995E-8</v>
      </c>
      <c r="D129" s="104">
        <v>6.9999999999999998E-9</v>
      </c>
      <c r="E129" s="104">
        <v>1.14E-7</v>
      </c>
      <c r="F129" s="105"/>
      <c r="R129" s="60"/>
      <c r="S129" s="60"/>
      <c r="T129" s="60"/>
      <c r="U129" s="60"/>
      <c r="V129" s="60"/>
      <c r="W129" s="58"/>
      <c r="X129" s="58"/>
      <c r="Y129" s="58"/>
      <c r="Z129" s="58"/>
      <c r="AA129" s="58"/>
    </row>
    <row r="130" spans="1:27" x14ac:dyDescent="0.2">
      <c r="A130" s="122" t="s">
        <v>90</v>
      </c>
      <c r="B130" s="123" t="s">
        <v>210</v>
      </c>
      <c r="C130" s="104">
        <v>1.9999999999999999E-7</v>
      </c>
      <c r="D130" s="104">
        <v>4.0000000000000001E-8</v>
      </c>
      <c r="E130" s="104">
        <v>4.4999999999999998E-7</v>
      </c>
      <c r="F130" s="105"/>
      <c r="R130" s="60"/>
      <c r="S130" s="60"/>
      <c r="T130" s="60"/>
      <c r="U130" s="60"/>
      <c r="V130" s="60"/>
      <c r="W130" s="58"/>
      <c r="X130" s="58"/>
      <c r="Y130" s="58"/>
      <c r="Z130" s="58"/>
      <c r="AA130" s="58"/>
    </row>
    <row r="131" spans="1:27" x14ac:dyDescent="0.2">
      <c r="A131" s="124" t="s">
        <v>92</v>
      </c>
      <c r="B131" s="123" t="s">
        <v>211</v>
      </c>
      <c r="C131" s="104">
        <v>2.0000000000000001E-10</v>
      </c>
      <c r="D131" s="104">
        <v>3.9999999999999998E-11</v>
      </c>
      <c r="E131" s="104">
        <v>4.5E-10</v>
      </c>
      <c r="F131" s="105"/>
      <c r="I131" s="69"/>
      <c r="J131" s="125"/>
      <c r="K131" s="126"/>
      <c r="L131" s="126"/>
      <c r="M131" s="126"/>
    </row>
    <row r="132" spans="1:27" x14ac:dyDescent="0.2">
      <c r="A132" s="69"/>
      <c r="B132" s="125"/>
      <c r="C132" s="126"/>
      <c r="D132" s="126"/>
      <c r="E132" s="126"/>
      <c r="F132" s="105"/>
      <c r="I132" s="69"/>
      <c r="J132" s="125"/>
      <c r="K132" s="126"/>
      <c r="L132" s="126"/>
      <c r="M132" s="126"/>
    </row>
    <row r="133" spans="1:27" x14ac:dyDescent="0.2">
      <c r="B133" s="125"/>
      <c r="C133" s="105"/>
      <c r="D133" s="105"/>
      <c r="E133" s="105"/>
      <c r="F133" s="105"/>
    </row>
    <row r="134" spans="1:27" x14ac:dyDescent="0.2">
      <c r="A134" s="59" t="s">
        <v>32</v>
      </c>
      <c r="B134" s="59" t="s">
        <v>33</v>
      </c>
      <c r="C134" s="59" t="s">
        <v>100</v>
      </c>
      <c r="D134" s="59" t="s">
        <v>99</v>
      </c>
    </row>
    <row r="136" spans="1:27" x14ac:dyDescent="0.2">
      <c r="A136" s="127" t="s">
        <v>24</v>
      </c>
    </row>
    <row r="137" spans="1:27" ht="13.5" thickBot="1" x14ac:dyDescent="0.25">
      <c r="A137" s="128"/>
      <c r="F137" s="129"/>
    </row>
    <row r="138" spans="1:27" ht="13.5" thickBot="1" x14ac:dyDescent="0.25">
      <c r="A138" s="130" t="s">
        <v>25</v>
      </c>
      <c r="B138" s="131" t="s">
        <v>32</v>
      </c>
      <c r="C138" s="132" t="s">
        <v>33</v>
      </c>
      <c r="D138" s="131" t="s">
        <v>100</v>
      </c>
      <c r="E138" s="133" t="s">
        <v>99</v>
      </c>
    </row>
    <row r="139" spans="1:27" x14ac:dyDescent="0.2">
      <c r="A139" s="134">
        <v>1</v>
      </c>
      <c r="B139" s="135">
        <v>5.5</v>
      </c>
      <c r="C139" s="136">
        <v>6.5</v>
      </c>
      <c r="D139" s="137">
        <v>1</v>
      </c>
      <c r="E139" s="138">
        <v>1</v>
      </c>
    </row>
    <row r="140" spans="1:27" x14ac:dyDescent="0.2">
      <c r="A140" s="139">
        <v>2</v>
      </c>
      <c r="B140" s="140">
        <v>3.89</v>
      </c>
      <c r="C140" s="141">
        <v>4.5999999999999996</v>
      </c>
      <c r="D140" s="77">
        <v>0.94</v>
      </c>
      <c r="E140" s="142">
        <v>0.9</v>
      </c>
    </row>
    <row r="141" spans="1:27" x14ac:dyDescent="0.2">
      <c r="A141" s="139">
        <v>4</v>
      </c>
      <c r="B141" s="140">
        <v>2.75</v>
      </c>
      <c r="C141" s="141">
        <v>3.25</v>
      </c>
      <c r="D141" s="77">
        <v>0.88</v>
      </c>
      <c r="E141" s="142">
        <v>0.8</v>
      </c>
    </row>
    <row r="142" spans="1:27" x14ac:dyDescent="0.2">
      <c r="A142" s="139">
        <v>8</v>
      </c>
      <c r="B142" s="140">
        <v>1.94</v>
      </c>
      <c r="C142" s="141">
        <v>2.2999999999999998</v>
      </c>
      <c r="D142" s="77">
        <v>0.82</v>
      </c>
      <c r="E142" s="142">
        <v>0.7</v>
      </c>
    </row>
    <row r="143" spans="1:27" x14ac:dyDescent="0.2">
      <c r="A143" s="139">
        <v>16</v>
      </c>
      <c r="B143" s="140">
        <v>1</v>
      </c>
      <c r="C143" s="141">
        <v>1.63</v>
      </c>
      <c r="D143" s="77">
        <v>0.76</v>
      </c>
      <c r="E143" s="142">
        <v>0.6</v>
      </c>
    </row>
    <row r="144" spans="1:27" x14ac:dyDescent="0.2">
      <c r="A144" s="139">
        <v>32</v>
      </c>
      <c r="B144" s="140">
        <v>0.85</v>
      </c>
      <c r="C144" s="141">
        <v>1</v>
      </c>
      <c r="D144" s="77">
        <v>0.7</v>
      </c>
      <c r="E144" s="142">
        <v>0.5</v>
      </c>
    </row>
    <row r="145" spans="1:53" x14ac:dyDescent="0.2">
      <c r="A145" s="139">
        <v>64</v>
      </c>
      <c r="B145" s="140">
        <v>0.61</v>
      </c>
      <c r="C145" s="141">
        <v>0.72</v>
      </c>
      <c r="D145" s="77">
        <v>0.64</v>
      </c>
      <c r="E145" s="142">
        <v>0.45</v>
      </c>
    </row>
    <row r="146" spans="1:53" x14ac:dyDescent="0.2">
      <c r="A146" s="139">
        <v>128</v>
      </c>
      <c r="B146" s="140">
        <v>0.49</v>
      </c>
      <c r="C146" s="141">
        <v>0.56999999999999995</v>
      </c>
      <c r="D146" s="77">
        <v>0.57999999999999996</v>
      </c>
      <c r="E146" s="142">
        <v>0.4</v>
      </c>
    </row>
    <row r="147" spans="1:53" x14ac:dyDescent="0.2">
      <c r="A147" s="139">
        <v>256</v>
      </c>
      <c r="B147" s="140">
        <v>0.34</v>
      </c>
      <c r="C147" s="141">
        <v>0.41</v>
      </c>
      <c r="D147" s="77">
        <v>0.52</v>
      </c>
      <c r="E147" s="142">
        <v>0.3</v>
      </c>
    </row>
    <row r="148" spans="1:53" x14ac:dyDescent="0.2">
      <c r="A148" s="139">
        <v>512</v>
      </c>
      <c r="B148" s="140">
        <v>0.24</v>
      </c>
      <c r="C148" s="141">
        <v>0.28999999999999998</v>
      </c>
      <c r="D148" s="77">
        <v>0.46</v>
      </c>
      <c r="E148" s="142">
        <v>0.25</v>
      </c>
    </row>
    <row r="149" spans="1:53" ht="13.5" thickBot="1" x14ac:dyDescent="0.25">
      <c r="A149" s="143">
        <v>1024</v>
      </c>
      <c r="B149" s="144">
        <v>0.17</v>
      </c>
      <c r="C149" s="145">
        <v>0.2</v>
      </c>
      <c r="D149" s="146">
        <v>0.4</v>
      </c>
      <c r="E149" s="147">
        <v>0.2</v>
      </c>
    </row>
    <row r="157" spans="1:53" x14ac:dyDescent="0.2">
      <c r="A157" s="59" t="s">
        <v>133</v>
      </c>
      <c r="H157" s="59"/>
      <c r="I157" s="59"/>
      <c r="J157" s="59"/>
      <c r="K157" s="59"/>
      <c r="L157" s="59"/>
      <c r="M157" s="59"/>
      <c r="N157" s="59"/>
      <c r="Q157" s="59"/>
      <c r="R157" s="59"/>
      <c r="S157" s="59"/>
      <c r="T157" s="59"/>
      <c r="U157" s="59"/>
      <c r="V157" s="59"/>
      <c r="W157" s="148"/>
      <c r="X157" s="148"/>
      <c r="Y157" s="148"/>
      <c r="Z157" s="148"/>
      <c r="AA157" s="148"/>
      <c r="AB157" s="59"/>
      <c r="AC157" s="59"/>
      <c r="AD157" s="59"/>
      <c r="AE157" s="59"/>
      <c r="AF157" s="59"/>
      <c r="AG157" s="59"/>
      <c r="AH157" s="59"/>
      <c r="AI157" s="149"/>
      <c r="AJ157" s="149"/>
      <c r="AK157" s="59"/>
      <c r="AL157" s="59"/>
      <c r="AM157" s="59"/>
    </row>
    <row r="158" spans="1:53" x14ac:dyDescent="0.2">
      <c r="A158" s="65" t="s">
        <v>0</v>
      </c>
      <c r="B158" s="65" t="s">
        <v>59</v>
      </c>
      <c r="C158" s="65" t="s">
        <v>68</v>
      </c>
      <c r="D158" s="65" t="s">
        <v>75</v>
      </c>
      <c r="E158" s="66" t="s">
        <v>61</v>
      </c>
      <c r="F158" s="66" t="s">
        <v>58</v>
      </c>
      <c r="G158" s="66" t="s">
        <v>67</v>
      </c>
      <c r="H158" s="66" t="s">
        <v>74</v>
      </c>
      <c r="I158" s="66" t="s">
        <v>69</v>
      </c>
      <c r="J158" s="66" t="s">
        <v>60</v>
      </c>
      <c r="K158" s="66" t="s">
        <v>70</v>
      </c>
      <c r="L158" s="66" t="s">
        <v>62</v>
      </c>
      <c r="M158" s="66" t="s">
        <v>71</v>
      </c>
      <c r="N158" s="66" t="s">
        <v>63</v>
      </c>
      <c r="O158" s="66" t="s">
        <v>65</v>
      </c>
      <c r="P158" s="66" t="s">
        <v>72</v>
      </c>
      <c r="Q158" s="66" t="s">
        <v>73</v>
      </c>
      <c r="R158" s="66" t="s">
        <v>78</v>
      </c>
      <c r="S158" s="66" t="s">
        <v>79</v>
      </c>
      <c r="T158" s="66" t="s">
        <v>80</v>
      </c>
      <c r="U158" s="66" t="s">
        <v>81</v>
      </c>
      <c r="V158" s="66" t="s">
        <v>82</v>
      </c>
      <c r="W158" s="66" t="s">
        <v>83</v>
      </c>
      <c r="X158" s="66" t="s">
        <v>84</v>
      </c>
      <c r="Y158" s="66" t="s">
        <v>85</v>
      </c>
      <c r="Z158" s="66" t="s">
        <v>86</v>
      </c>
      <c r="AA158" s="65" t="s">
        <v>48</v>
      </c>
      <c r="AB158" s="65" t="s">
        <v>49</v>
      </c>
      <c r="AC158" s="65" t="s">
        <v>50</v>
      </c>
      <c r="AD158" s="66" t="s">
        <v>54</v>
      </c>
      <c r="AE158" s="66" t="s">
        <v>55</v>
      </c>
      <c r="AF158" s="66" t="s">
        <v>56</v>
      </c>
      <c r="AG158" s="72" t="s">
        <v>64</v>
      </c>
      <c r="AH158" s="72" t="s">
        <v>66</v>
      </c>
      <c r="AI158" s="73" t="s">
        <v>210</v>
      </c>
      <c r="AJ158" s="73" t="s">
        <v>211</v>
      </c>
      <c r="AK158" s="70" t="s">
        <v>76</v>
      </c>
      <c r="AL158" s="70" t="s">
        <v>77</v>
      </c>
      <c r="AM158" s="66" t="s">
        <v>111</v>
      </c>
      <c r="AN158" s="82" t="s">
        <v>193</v>
      </c>
      <c r="AO158" s="66" t="s">
        <v>112</v>
      </c>
      <c r="AP158" s="66" t="s">
        <v>113</v>
      </c>
      <c r="AQ158" s="66" t="s">
        <v>114</v>
      </c>
      <c r="AR158" s="66" t="s">
        <v>115</v>
      </c>
      <c r="AS158" s="66" t="s">
        <v>116</v>
      </c>
      <c r="AT158" s="66" t="s">
        <v>117</v>
      </c>
      <c r="AU158" s="66" t="s">
        <v>118</v>
      </c>
      <c r="AV158" s="66" t="s">
        <v>119</v>
      </c>
      <c r="AW158" s="66" t="s">
        <v>120</v>
      </c>
      <c r="AX158" s="66" t="s">
        <v>121</v>
      </c>
      <c r="AY158" s="66" t="s">
        <v>122</v>
      </c>
      <c r="AZ158" s="66" t="s">
        <v>123</v>
      </c>
      <c r="BA158" s="66" t="s">
        <v>124</v>
      </c>
    </row>
    <row r="159" spans="1:53" x14ac:dyDescent="0.2">
      <c r="A159" s="71">
        <f>9000/1000000000</f>
        <v>9.0000000000000002E-6</v>
      </c>
      <c r="B159" s="93" t="s">
        <v>31</v>
      </c>
      <c r="C159" s="93" t="s">
        <v>31</v>
      </c>
      <c r="D159" s="93" t="s">
        <v>31</v>
      </c>
      <c r="E159" s="93" t="s">
        <v>31</v>
      </c>
      <c r="F159" s="93" t="s">
        <v>31</v>
      </c>
      <c r="G159" s="93" t="s">
        <v>31</v>
      </c>
      <c r="H159" s="93" t="s">
        <v>31</v>
      </c>
      <c r="I159" s="93" t="s">
        <v>31</v>
      </c>
      <c r="J159" s="93" t="s">
        <v>31</v>
      </c>
      <c r="K159" s="93" t="s">
        <v>31</v>
      </c>
      <c r="L159" s="93" t="s">
        <v>31</v>
      </c>
      <c r="M159" s="93" t="s">
        <v>31</v>
      </c>
      <c r="N159" s="93" t="s">
        <v>31</v>
      </c>
      <c r="O159" s="93" t="s">
        <v>31</v>
      </c>
      <c r="P159" s="93" t="s">
        <v>31</v>
      </c>
      <c r="Q159" s="93" t="s">
        <v>31</v>
      </c>
      <c r="R159" s="93" t="s">
        <v>31</v>
      </c>
      <c r="S159" s="93" t="s">
        <v>31</v>
      </c>
      <c r="T159" s="93" t="s">
        <v>31</v>
      </c>
      <c r="U159" s="93" t="s">
        <v>31</v>
      </c>
      <c r="V159" s="92">
        <v>1.6E-2</v>
      </c>
      <c r="W159" s="93" t="s">
        <v>31</v>
      </c>
      <c r="X159" s="93" t="s">
        <v>31</v>
      </c>
      <c r="Y159" s="93" t="s">
        <v>31</v>
      </c>
      <c r="Z159" s="93" t="s">
        <v>31</v>
      </c>
      <c r="AA159" s="93" t="s">
        <v>31</v>
      </c>
      <c r="AB159" s="93" t="s">
        <v>31</v>
      </c>
      <c r="AC159" s="93" t="s">
        <v>31</v>
      </c>
      <c r="AD159" s="93" t="s">
        <v>31</v>
      </c>
      <c r="AE159" s="93" t="s">
        <v>31</v>
      </c>
      <c r="AF159" s="93" t="s">
        <v>31</v>
      </c>
      <c r="AG159" s="93" t="s">
        <v>31</v>
      </c>
      <c r="AH159" s="93" t="s">
        <v>31</v>
      </c>
      <c r="AI159" s="93" t="s">
        <v>31</v>
      </c>
      <c r="AJ159" s="93" t="s">
        <v>31</v>
      </c>
      <c r="AK159" s="93" t="s">
        <v>31</v>
      </c>
      <c r="AL159" s="93" t="s">
        <v>31</v>
      </c>
      <c r="AM159" s="93" t="s">
        <v>31</v>
      </c>
      <c r="AN159" s="93" t="s">
        <v>31</v>
      </c>
      <c r="AO159" s="71" t="s">
        <v>31</v>
      </c>
      <c r="AP159" s="71" t="s">
        <v>31</v>
      </c>
      <c r="AQ159" s="71" t="s">
        <v>31</v>
      </c>
      <c r="AR159" s="71" t="s">
        <v>31</v>
      </c>
      <c r="AS159" s="71" t="s">
        <v>31</v>
      </c>
      <c r="AT159" s="71" t="s">
        <v>31</v>
      </c>
      <c r="AU159" s="93" t="s">
        <v>31</v>
      </c>
      <c r="AV159" s="71" t="s">
        <v>31</v>
      </c>
      <c r="AW159" s="71" t="s">
        <v>31</v>
      </c>
      <c r="AX159" s="71" t="s">
        <v>31</v>
      </c>
      <c r="AY159" s="71" t="s">
        <v>31</v>
      </c>
      <c r="AZ159" s="71" t="s">
        <v>31</v>
      </c>
      <c r="BA159" s="71" t="s">
        <v>31</v>
      </c>
    </row>
    <row r="160" spans="1:53" x14ac:dyDescent="0.2">
      <c r="A160" s="71">
        <f>100000/1000000000</f>
        <v>1E-4</v>
      </c>
      <c r="B160" s="150">
        <v>8.0000000000000002E-3</v>
      </c>
      <c r="C160" s="150">
        <v>1.4999999999999999E-2</v>
      </c>
      <c r="D160" s="150">
        <v>8.0000000000000002E-3</v>
      </c>
      <c r="E160" s="150">
        <v>1.2999999999999999E-2</v>
      </c>
      <c r="F160" s="93" t="s">
        <v>31</v>
      </c>
      <c r="G160" s="93" t="s">
        <v>31</v>
      </c>
      <c r="H160" s="93" t="s">
        <v>31</v>
      </c>
      <c r="I160" s="93" t="s">
        <v>31</v>
      </c>
      <c r="J160" s="93" t="s">
        <v>31</v>
      </c>
      <c r="K160" s="93" t="s">
        <v>31</v>
      </c>
      <c r="L160" s="93" t="s">
        <v>31</v>
      </c>
      <c r="M160" s="93" t="s">
        <v>31</v>
      </c>
      <c r="N160" s="93" t="s">
        <v>31</v>
      </c>
      <c r="O160" s="93" t="s">
        <v>31</v>
      </c>
      <c r="P160" s="93" t="s">
        <v>31</v>
      </c>
      <c r="Q160" s="93" t="s">
        <v>31</v>
      </c>
      <c r="R160" s="93" t="s">
        <v>31</v>
      </c>
      <c r="S160" s="93" t="s">
        <v>31</v>
      </c>
      <c r="T160" s="93" t="s">
        <v>31</v>
      </c>
      <c r="U160" s="93" t="s">
        <v>31</v>
      </c>
      <c r="V160" s="92">
        <v>1.6E-2</v>
      </c>
      <c r="W160" s="93" t="s">
        <v>31</v>
      </c>
      <c r="X160" s="93" t="s">
        <v>31</v>
      </c>
      <c r="Y160" s="93" t="s">
        <v>31</v>
      </c>
      <c r="Z160" s="93" t="s">
        <v>31</v>
      </c>
      <c r="AA160" s="93" t="s">
        <v>31</v>
      </c>
      <c r="AB160" s="151">
        <v>9.1000000000000004E-3</v>
      </c>
      <c r="AC160" s="93" t="s">
        <v>31</v>
      </c>
      <c r="AD160" s="93" t="s">
        <v>31</v>
      </c>
      <c r="AE160" s="151">
        <v>9.1000000000000004E-3</v>
      </c>
      <c r="AF160" s="93" t="s">
        <v>31</v>
      </c>
      <c r="AG160" s="93" t="s">
        <v>31</v>
      </c>
      <c r="AH160" s="93" t="s">
        <v>31</v>
      </c>
      <c r="AI160" s="93" t="s">
        <v>31</v>
      </c>
      <c r="AJ160" s="93" t="s">
        <v>31</v>
      </c>
      <c r="AK160" s="93" t="s">
        <v>31</v>
      </c>
      <c r="AL160" s="93" t="s">
        <v>31</v>
      </c>
      <c r="AM160" s="93" t="s">
        <v>31</v>
      </c>
      <c r="AN160" s="93" t="s">
        <v>31</v>
      </c>
      <c r="AO160" s="71" t="s">
        <v>31</v>
      </c>
      <c r="AP160" s="152">
        <v>1.4800000000000001E-2</v>
      </c>
      <c r="AQ160" s="71" t="s">
        <v>31</v>
      </c>
      <c r="AR160" s="152">
        <v>8.8999999999999999E-3</v>
      </c>
      <c r="AS160" s="71" t="s">
        <v>31</v>
      </c>
      <c r="AT160" s="71" t="s">
        <v>31</v>
      </c>
      <c r="AU160" s="93" t="s">
        <v>31</v>
      </c>
      <c r="AV160" s="71" t="s">
        <v>31</v>
      </c>
      <c r="AW160" s="152">
        <v>1.4800000000000001E-2</v>
      </c>
      <c r="AX160" s="71" t="s">
        <v>31</v>
      </c>
      <c r="AY160" s="152">
        <v>8.8999999999999999E-3</v>
      </c>
      <c r="AZ160" s="71" t="s">
        <v>31</v>
      </c>
      <c r="BA160" s="71" t="s">
        <v>31</v>
      </c>
    </row>
    <row r="161" spans="1:53" x14ac:dyDescent="0.2">
      <c r="A161" s="71">
        <f>300000/1000000000</f>
        <v>2.9999999999999997E-4</v>
      </c>
      <c r="B161" s="150">
        <v>7.0000000000000001E-3</v>
      </c>
      <c r="C161" s="150">
        <v>1.4E-2</v>
      </c>
      <c r="D161" s="150">
        <v>8.9999999999999993E-3</v>
      </c>
      <c r="E161" s="150">
        <v>1.2E-2</v>
      </c>
      <c r="F161" s="93" t="s">
        <v>31</v>
      </c>
      <c r="G161" s="93" t="s">
        <v>31</v>
      </c>
      <c r="H161" s="93" t="s">
        <v>31</v>
      </c>
      <c r="I161" s="93" t="s">
        <v>31</v>
      </c>
      <c r="J161" s="93" t="s">
        <v>31</v>
      </c>
      <c r="K161" s="93" t="s">
        <v>31</v>
      </c>
      <c r="L161" s="93" t="s">
        <v>31</v>
      </c>
      <c r="M161" s="93" t="s">
        <v>31</v>
      </c>
      <c r="N161" s="93" t="s">
        <v>31</v>
      </c>
      <c r="O161" s="93" t="s">
        <v>31</v>
      </c>
      <c r="P161" s="93" t="s">
        <v>31</v>
      </c>
      <c r="Q161" s="93" t="s">
        <v>31</v>
      </c>
      <c r="R161" s="93" t="s">
        <v>31</v>
      </c>
      <c r="S161" s="93" t="s">
        <v>31</v>
      </c>
      <c r="T161" s="93" t="s">
        <v>31</v>
      </c>
      <c r="U161" s="93" t="s">
        <v>31</v>
      </c>
      <c r="V161" s="92">
        <v>1.6E-2</v>
      </c>
      <c r="W161" s="93" t="s">
        <v>31</v>
      </c>
      <c r="X161" s="93" t="s">
        <v>31</v>
      </c>
      <c r="Y161" s="93" t="s">
        <v>31</v>
      </c>
      <c r="Z161" s="93" t="s">
        <v>31</v>
      </c>
      <c r="AA161" s="93" t="s">
        <v>31</v>
      </c>
      <c r="AB161" s="151">
        <v>9.1000000000000004E-3</v>
      </c>
      <c r="AC161" s="93" t="s">
        <v>31</v>
      </c>
      <c r="AD161" s="93" t="s">
        <v>31</v>
      </c>
      <c r="AE161" s="151">
        <v>9.1000000000000004E-3</v>
      </c>
      <c r="AF161" s="93" t="s">
        <v>31</v>
      </c>
      <c r="AG161" s="93" t="s">
        <v>31</v>
      </c>
      <c r="AH161" s="93" t="s">
        <v>31</v>
      </c>
      <c r="AI161" s="93" t="s">
        <v>31</v>
      </c>
      <c r="AJ161" s="93" t="s">
        <v>31</v>
      </c>
      <c r="AK161" s="93" t="s">
        <v>31</v>
      </c>
      <c r="AL161" s="93" t="s">
        <v>31</v>
      </c>
      <c r="AM161" s="93" t="s">
        <v>31</v>
      </c>
      <c r="AN161" s="93" t="s">
        <v>31</v>
      </c>
      <c r="AO161" s="71" t="s">
        <v>31</v>
      </c>
      <c r="AP161" s="152">
        <v>1.4800000000000001E-2</v>
      </c>
      <c r="AQ161" s="71" t="s">
        <v>31</v>
      </c>
      <c r="AR161" s="152">
        <v>8.8999999999999999E-3</v>
      </c>
      <c r="AS161" s="71" t="s">
        <v>31</v>
      </c>
      <c r="AT161" s="71" t="s">
        <v>31</v>
      </c>
      <c r="AU161" s="93" t="s">
        <v>31</v>
      </c>
      <c r="AV161" s="71" t="s">
        <v>31</v>
      </c>
      <c r="AW161" s="152">
        <v>1.4800000000000001E-2</v>
      </c>
      <c r="AX161" s="71" t="s">
        <v>31</v>
      </c>
      <c r="AY161" s="152">
        <v>8.8999999999999999E-3</v>
      </c>
      <c r="AZ161" s="71" t="s">
        <v>31</v>
      </c>
      <c r="BA161" s="71" t="s">
        <v>31</v>
      </c>
    </row>
    <row r="162" spans="1:53" x14ac:dyDescent="0.2">
      <c r="A162" s="71">
        <f>1000000/1000000000</f>
        <v>1E-3</v>
      </c>
      <c r="B162" s="150">
        <v>7.0000000000000001E-3</v>
      </c>
      <c r="C162" s="150">
        <v>1.4E-2</v>
      </c>
      <c r="D162" s="150">
        <v>8.9999999999999993E-3</v>
      </c>
      <c r="E162" s="150">
        <v>1.0999999999999999E-2</v>
      </c>
      <c r="F162" s="93" t="s">
        <v>31</v>
      </c>
      <c r="G162" s="93" t="s">
        <v>31</v>
      </c>
      <c r="H162" s="93" t="s">
        <v>31</v>
      </c>
      <c r="I162" s="93" t="s">
        <v>31</v>
      </c>
      <c r="J162" s="93" t="s">
        <v>31</v>
      </c>
      <c r="K162" s="93" t="s">
        <v>31</v>
      </c>
      <c r="L162" s="93" t="s">
        <v>31</v>
      </c>
      <c r="M162" s="93" t="s">
        <v>31</v>
      </c>
      <c r="N162" s="93" t="s">
        <v>31</v>
      </c>
      <c r="O162" s="93" t="s">
        <v>31</v>
      </c>
      <c r="P162" s="93" t="s">
        <v>31</v>
      </c>
      <c r="Q162" s="93" t="s">
        <v>31</v>
      </c>
      <c r="R162" s="93" t="s">
        <v>31</v>
      </c>
      <c r="S162" s="93" t="s">
        <v>31</v>
      </c>
      <c r="T162" s="93" t="s">
        <v>31</v>
      </c>
      <c r="U162" s="93" t="s">
        <v>31</v>
      </c>
      <c r="V162" s="92">
        <v>1.6E-2</v>
      </c>
      <c r="W162" s="93" t="s">
        <v>31</v>
      </c>
      <c r="X162" s="93" t="s">
        <v>31</v>
      </c>
      <c r="Y162" s="93" t="s">
        <v>31</v>
      </c>
      <c r="Z162" s="93" t="s">
        <v>31</v>
      </c>
      <c r="AA162" s="93" t="s">
        <v>31</v>
      </c>
      <c r="AB162" s="151">
        <v>9.1000000000000004E-3</v>
      </c>
      <c r="AC162" s="93" t="s">
        <v>31</v>
      </c>
      <c r="AD162" s="93" t="s">
        <v>31</v>
      </c>
      <c r="AE162" s="151">
        <v>9.1000000000000004E-3</v>
      </c>
      <c r="AF162" s="93" t="s">
        <v>31</v>
      </c>
      <c r="AG162" s="93" t="s">
        <v>31</v>
      </c>
      <c r="AH162" s="93" t="s">
        <v>31</v>
      </c>
      <c r="AI162" s="93" t="s">
        <v>31</v>
      </c>
      <c r="AJ162" s="93" t="s">
        <v>31</v>
      </c>
      <c r="AK162" s="93" t="s">
        <v>31</v>
      </c>
      <c r="AL162" s="93" t="s">
        <v>31</v>
      </c>
      <c r="AM162" s="93" t="s">
        <v>31</v>
      </c>
      <c r="AN162" s="93" t="s">
        <v>31</v>
      </c>
      <c r="AO162" s="71" t="s">
        <v>31</v>
      </c>
      <c r="AP162" s="152">
        <v>1.4800000000000001E-2</v>
      </c>
      <c r="AQ162" s="71" t="s">
        <v>31</v>
      </c>
      <c r="AR162" s="152">
        <v>8.8999999999999999E-3</v>
      </c>
      <c r="AS162" s="71" t="s">
        <v>31</v>
      </c>
      <c r="AT162" s="71" t="s">
        <v>31</v>
      </c>
      <c r="AU162" s="93" t="s">
        <v>31</v>
      </c>
      <c r="AV162" s="71" t="s">
        <v>31</v>
      </c>
      <c r="AW162" s="152">
        <v>1.4800000000000001E-2</v>
      </c>
      <c r="AX162" s="71" t="s">
        <v>31</v>
      </c>
      <c r="AY162" s="152">
        <v>8.8999999999999999E-3</v>
      </c>
      <c r="AZ162" s="71" t="s">
        <v>31</v>
      </c>
      <c r="BA162" s="71" t="s">
        <v>31</v>
      </c>
    </row>
    <row r="163" spans="1:53" x14ac:dyDescent="0.2">
      <c r="A163" s="71">
        <v>3.0000000000000001E-3</v>
      </c>
      <c r="B163" s="150">
        <v>8.0000000000000002E-3</v>
      </c>
      <c r="C163" s="150">
        <v>1.4999999999999999E-2</v>
      </c>
      <c r="D163" s="150">
        <v>8.0000000000000002E-3</v>
      </c>
      <c r="E163" s="150">
        <v>1.2E-2</v>
      </c>
      <c r="F163" s="93" t="s">
        <v>31</v>
      </c>
      <c r="G163" s="93" t="s">
        <v>31</v>
      </c>
      <c r="H163" s="93" t="s">
        <v>31</v>
      </c>
      <c r="I163" s="93" t="s">
        <v>31</v>
      </c>
      <c r="J163" s="93" t="s">
        <v>31</v>
      </c>
      <c r="K163" s="93" t="s">
        <v>31</v>
      </c>
      <c r="L163" s="93" t="s">
        <v>31</v>
      </c>
      <c r="M163" s="93" t="s">
        <v>31</v>
      </c>
      <c r="N163" s="93" t="s">
        <v>31</v>
      </c>
      <c r="O163" s="93" t="s">
        <v>31</v>
      </c>
      <c r="P163" s="93" t="s">
        <v>31</v>
      </c>
      <c r="Q163" s="93" t="s">
        <v>31</v>
      </c>
      <c r="R163" s="93" t="s">
        <v>31</v>
      </c>
      <c r="S163" s="93" t="s">
        <v>31</v>
      </c>
      <c r="T163" s="93" t="s">
        <v>31</v>
      </c>
      <c r="U163" s="93" t="s">
        <v>31</v>
      </c>
      <c r="V163" s="92">
        <v>1.6E-2</v>
      </c>
      <c r="W163" s="93" t="s">
        <v>31</v>
      </c>
      <c r="X163" s="93" t="s">
        <v>31</v>
      </c>
      <c r="Y163" s="93" t="s">
        <v>31</v>
      </c>
      <c r="Z163" s="93" t="s">
        <v>31</v>
      </c>
      <c r="AA163" s="93" t="s">
        <v>31</v>
      </c>
      <c r="AB163" s="151">
        <v>9.1000000000000004E-3</v>
      </c>
      <c r="AC163" s="93" t="s">
        <v>31</v>
      </c>
      <c r="AD163" s="93" t="s">
        <v>31</v>
      </c>
      <c r="AE163" s="151">
        <v>9.1000000000000004E-3</v>
      </c>
      <c r="AF163" s="93" t="s">
        <v>31</v>
      </c>
      <c r="AG163" s="93" t="s">
        <v>31</v>
      </c>
      <c r="AH163" s="93" t="s">
        <v>31</v>
      </c>
      <c r="AI163" s="93" t="s">
        <v>31</v>
      </c>
      <c r="AJ163" s="93" t="s">
        <v>31</v>
      </c>
      <c r="AK163" s="93" t="s">
        <v>31</v>
      </c>
      <c r="AL163" s="93" t="s">
        <v>31</v>
      </c>
      <c r="AM163" s="93" t="s">
        <v>31</v>
      </c>
      <c r="AN163" s="93" t="s">
        <v>31</v>
      </c>
      <c r="AO163" s="71" t="s">
        <v>31</v>
      </c>
      <c r="AP163" s="152">
        <v>1.4800000000000001E-2</v>
      </c>
      <c r="AQ163" s="71" t="s">
        <v>31</v>
      </c>
      <c r="AR163" s="152">
        <v>8.8999999999999999E-3</v>
      </c>
      <c r="AS163" s="71" t="s">
        <v>31</v>
      </c>
      <c r="AT163" s="71" t="s">
        <v>31</v>
      </c>
      <c r="AU163" s="93" t="s">
        <v>31</v>
      </c>
      <c r="AV163" s="71" t="s">
        <v>31</v>
      </c>
      <c r="AW163" s="152">
        <v>1.4800000000000001E-2</v>
      </c>
      <c r="AX163" s="71" t="s">
        <v>31</v>
      </c>
      <c r="AY163" s="152">
        <v>8.8999999999999999E-3</v>
      </c>
      <c r="AZ163" s="71" t="s">
        <v>31</v>
      </c>
      <c r="BA163" s="71" t="s">
        <v>31</v>
      </c>
    </row>
    <row r="164" spans="1:53" x14ac:dyDescent="0.2">
      <c r="A164" s="71">
        <v>0.01</v>
      </c>
      <c r="B164" s="150">
        <v>8.0000000000000002E-3</v>
      </c>
      <c r="C164" s="150">
        <v>1.4999999999999999E-2</v>
      </c>
      <c r="D164" s="150">
        <v>8.0000000000000002E-3</v>
      </c>
      <c r="E164" s="150">
        <v>1.2E-2</v>
      </c>
      <c r="F164" s="150">
        <v>7.0000000000000001E-3</v>
      </c>
      <c r="G164" s="150">
        <v>1.4E-2</v>
      </c>
      <c r="H164" s="150">
        <v>8.0000000000000002E-3</v>
      </c>
      <c r="I164" s="150">
        <v>8.0000000000000002E-3</v>
      </c>
      <c r="J164" s="153" t="s">
        <v>31</v>
      </c>
      <c r="K164" s="153" t="s">
        <v>31</v>
      </c>
      <c r="L164" s="153" t="s">
        <v>31</v>
      </c>
      <c r="M164" s="153" t="s">
        <v>31</v>
      </c>
      <c r="N164" s="93" t="s">
        <v>31</v>
      </c>
      <c r="O164" s="93" t="s">
        <v>31</v>
      </c>
      <c r="P164" s="93" t="s">
        <v>31</v>
      </c>
      <c r="Q164" s="93" t="s">
        <v>31</v>
      </c>
      <c r="R164" s="154">
        <v>1.7999999999999999E-2</v>
      </c>
      <c r="S164" s="93" t="s">
        <v>31</v>
      </c>
      <c r="T164" s="93">
        <v>1.7999999999999999E-2</v>
      </c>
      <c r="U164" s="93">
        <v>1.7999999999999999E-2</v>
      </c>
      <c r="V164" s="92">
        <v>1.6E-2</v>
      </c>
      <c r="W164" s="93">
        <v>1.7999999999999999E-2</v>
      </c>
      <c r="X164" s="93">
        <v>1.7999999999999999E-2</v>
      </c>
      <c r="Y164" s="93">
        <v>1.7999999999999999E-2</v>
      </c>
      <c r="Z164" s="93">
        <v>1.7999999999999999E-2</v>
      </c>
      <c r="AA164" s="152">
        <v>8.2000000000000007E-3</v>
      </c>
      <c r="AB164" s="152">
        <v>7.7999999999999996E-3</v>
      </c>
      <c r="AC164" s="152">
        <v>8.2000000000000007E-3</v>
      </c>
      <c r="AD164" s="152">
        <v>8.2000000000000007E-3</v>
      </c>
      <c r="AE164" s="152">
        <v>7.7999999999999996E-3</v>
      </c>
      <c r="AF164" s="152">
        <v>8.2000000000000007E-3</v>
      </c>
      <c r="AG164" s="93" t="s">
        <v>31</v>
      </c>
      <c r="AH164" s="93" t="s">
        <v>31</v>
      </c>
      <c r="AI164" s="93" t="s">
        <v>31</v>
      </c>
      <c r="AJ164" s="93" t="s">
        <v>31</v>
      </c>
      <c r="AK164" s="93" t="s">
        <v>31</v>
      </c>
      <c r="AL164" s="93" t="s">
        <v>31</v>
      </c>
      <c r="AM164" s="93" t="s">
        <v>31</v>
      </c>
      <c r="AN164" s="96">
        <v>1.7000000000000001E-2</v>
      </c>
      <c r="AO164" s="152">
        <v>1.4200000000000001E-2</v>
      </c>
      <c r="AP164" s="152">
        <v>1.43E-2</v>
      </c>
      <c r="AQ164" s="152">
        <v>7.7000000000000002E-3</v>
      </c>
      <c r="AR164" s="152">
        <v>7.9000000000000008E-3</v>
      </c>
      <c r="AS164" s="71" t="s">
        <v>31</v>
      </c>
      <c r="AT164" s="71" t="s">
        <v>31</v>
      </c>
      <c r="AU164" s="93" t="s">
        <v>31</v>
      </c>
      <c r="AV164" s="152">
        <v>1.4200000000000001E-2</v>
      </c>
      <c r="AW164" s="152">
        <v>1.43E-2</v>
      </c>
      <c r="AX164" s="152">
        <v>7.7000000000000002E-3</v>
      </c>
      <c r="AY164" s="152">
        <v>7.9000000000000008E-3</v>
      </c>
      <c r="AZ164" s="71" t="s">
        <v>31</v>
      </c>
      <c r="BA164" s="71" t="s">
        <v>31</v>
      </c>
    </row>
    <row r="165" spans="1:53" x14ac:dyDescent="0.2">
      <c r="A165" s="71">
        <v>0.03</v>
      </c>
      <c r="B165" s="150">
        <v>8.0000000000000002E-3</v>
      </c>
      <c r="C165" s="150">
        <v>1.4999999999999999E-2</v>
      </c>
      <c r="D165" s="150">
        <v>8.9999999999999993E-3</v>
      </c>
      <c r="E165" s="150">
        <v>1.2E-2</v>
      </c>
      <c r="F165" s="150">
        <v>7.0000000000000001E-3</v>
      </c>
      <c r="G165" s="150">
        <v>1.4E-2</v>
      </c>
      <c r="H165" s="150">
        <v>8.0000000000000002E-3</v>
      </c>
      <c r="I165" s="150">
        <v>8.0000000000000002E-3</v>
      </c>
      <c r="J165" s="153" t="s">
        <v>31</v>
      </c>
      <c r="K165" s="153" t="s">
        <v>31</v>
      </c>
      <c r="L165" s="153" t="s">
        <v>31</v>
      </c>
      <c r="M165" s="153" t="s">
        <v>31</v>
      </c>
      <c r="N165" s="93" t="s">
        <v>31</v>
      </c>
      <c r="O165" s="93" t="s">
        <v>31</v>
      </c>
      <c r="P165" s="93" t="s">
        <v>31</v>
      </c>
      <c r="Q165" s="93" t="s">
        <v>31</v>
      </c>
      <c r="R165" s="93">
        <v>1.7999999999999999E-2</v>
      </c>
      <c r="S165" s="93" t="s">
        <v>31</v>
      </c>
      <c r="T165" s="93">
        <v>1.6E-2</v>
      </c>
      <c r="U165" s="93">
        <v>1.6E-2</v>
      </c>
      <c r="V165" s="92">
        <v>1.6E-2</v>
      </c>
      <c r="W165" s="93">
        <v>1.6E-2</v>
      </c>
      <c r="X165" s="93">
        <v>1.6E-2</v>
      </c>
      <c r="Y165" s="93">
        <v>1.6E-2</v>
      </c>
      <c r="Z165" s="93">
        <v>1.6E-2</v>
      </c>
      <c r="AA165" s="152">
        <v>7.7000000000000002E-3</v>
      </c>
      <c r="AB165" s="152">
        <v>7.7000000000000002E-3</v>
      </c>
      <c r="AC165" s="152">
        <v>1.24E-2</v>
      </c>
      <c r="AD165" s="152">
        <v>7.7000000000000002E-3</v>
      </c>
      <c r="AE165" s="152">
        <v>7.7000000000000002E-3</v>
      </c>
      <c r="AF165" s="152">
        <v>1.24E-2</v>
      </c>
      <c r="AG165" s="93" t="s">
        <v>31</v>
      </c>
      <c r="AH165" s="93" t="s">
        <v>31</v>
      </c>
      <c r="AI165" s="93" t="s">
        <v>31</v>
      </c>
      <c r="AJ165" s="93" t="s">
        <v>31</v>
      </c>
      <c r="AK165" s="93" t="s">
        <v>31</v>
      </c>
      <c r="AL165" s="93" t="s">
        <v>31</v>
      </c>
      <c r="AM165" s="93" t="s">
        <v>31</v>
      </c>
      <c r="AN165" s="96">
        <v>1.7000000000000001E-2</v>
      </c>
      <c r="AO165" s="152">
        <v>1.4800000000000001E-2</v>
      </c>
      <c r="AP165" s="152">
        <v>1.49E-2</v>
      </c>
      <c r="AQ165" s="152">
        <v>8.8999999999999999E-3</v>
      </c>
      <c r="AR165" s="152">
        <v>8.8999999999999999E-3</v>
      </c>
      <c r="AS165" s="71" t="s">
        <v>31</v>
      </c>
      <c r="AT165" s="71" t="s">
        <v>31</v>
      </c>
      <c r="AU165" s="93" t="s">
        <v>31</v>
      </c>
      <c r="AV165" s="152">
        <v>1.4800000000000001E-2</v>
      </c>
      <c r="AW165" s="152">
        <v>1.49E-2</v>
      </c>
      <c r="AX165" s="152">
        <v>8.8999999999999999E-3</v>
      </c>
      <c r="AY165" s="152">
        <v>8.8999999999999999E-3</v>
      </c>
      <c r="AZ165" s="71" t="s">
        <v>31</v>
      </c>
      <c r="BA165" s="71" t="s">
        <v>31</v>
      </c>
    </row>
    <row r="166" spans="1:53" s="161" customFormat="1" x14ac:dyDescent="0.2">
      <c r="A166" s="155">
        <v>0.05</v>
      </c>
      <c r="B166" s="156">
        <v>7.0000000000000001E-3</v>
      </c>
      <c r="C166" s="156">
        <v>1.4E-2</v>
      </c>
      <c r="D166" s="156">
        <v>8.0000000000000002E-3</v>
      </c>
      <c r="E166" s="156">
        <v>1.2E-2</v>
      </c>
      <c r="F166" s="156">
        <v>7.0000000000000001E-3</v>
      </c>
      <c r="G166" s="156">
        <v>1.4E-2</v>
      </c>
      <c r="H166" s="156">
        <v>8.0000000000000002E-3</v>
      </c>
      <c r="I166" s="156">
        <v>8.0000000000000002E-3</v>
      </c>
      <c r="J166" s="156">
        <v>1.4E-2</v>
      </c>
      <c r="K166" s="156">
        <v>1.4E-2</v>
      </c>
      <c r="L166" s="157">
        <v>1.38E-2</v>
      </c>
      <c r="M166" s="156">
        <v>1.2999999999999999E-2</v>
      </c>
      <c r="N166" s="158" t="s">
        <v>31</v>
      </c>
      <c r="O166" s="158" t="s">
        <v>31</v>
      </c>
      <c r="P166" s="158" t="s">
        <v>31</v>
      </c>
      <c r="Q166" s="158" t="s">
        <v>31</v>
      </c>
      <c r="R166" s="158">
        <v>0</v>
      </c>
      <c r="S166" s="158">
        <v>0</v>
      </c>
      <c r="T166" s="158">
        <v>1.6E-2</v>
      </c>
      <c r="U166" s="158">
        <v>1.6E-2</v>
      </c>
      <c r="V166" s="159">
        <v>1.6E-2</v>
      </c>
      <c r="W166" s="158">
        <v>1.6E-2</v>
      </c>
      <c r="X166" s="158">
        <v>1.6E-2</v>
      </c>
      <c r="Y166" s="158">
        <v>1.6E-2</v>
      </c>
      <c r="Z166" s="158">
        <v>1.6E-2</v>
      </c>
      <c r="AA166" s="152">
        <v>7.7000000000000002E-3</v>
      </c>
      <c r="AB166" s="152">
        <v>7.7000000000000002E-3</v>
      </c>
      <c r="AC166" s="152">
        <v>1.24E-2</v>
      </c>
      <c r="AD166" s="152">
        <v>7.7000000000000002E-3</v>
      </c>
      <c r="AE166" s="152">
        <v>7.7000000000000002E-3</v>
      </c>
      <c r="AF166" s="152">
        <v>1.24E-2</v>
      </c>
      <c r="AG166" s="158" t="s">
        <v>31</v>
      </c>
      <c r="AH166" s="158" t="s">
        <v>31</v>
      </c>
      <c r="AI166" s="158" t="s">
        <v>31</v>
      </c>
      <c r="AJ166" s="158" t="s">
        <v>31</v>
      </c>
      <c r="AK166" s="160">
        <v>1.4E-2</v>
      </c>
      <c r="AL166" s="160">
        <v>1.4E-2</v>
      </c>
      <c r="AM166" s="152">
        <v>1.3299999999999999E-2</v>
      </c>
      <c r="AN166" s="96">
        <v>1.6E-2</v>
      </c>
      <c r="AO166" s="152">
        <v>1.4800000000000001E-2</v>
      </c>
      <c r="AP166" s="152">
        <v>1.49E-2</v>
      </c>
      <c r="AQ166" s="152">
        <v>8.8999999999999999E-3</v>
      </c>
      <c r="AR166" s="152">
        <v>8.8999999999999999E-3</v>
      </c>
      <c r="AS166" s="71" t="s">
        <v>31</v>
      </c>
      <c r="AT166" s="71" t="s">
        <v>31</v>
      </c>
      <c r="AU166" s="152">
        <v>1.3299999999999999E-2</v>
      </c>
      <c r="AV166" s="152">
        <v>1.4800000000000001E-2</v>
      </c>
      <c r="AW166" s="152">
        <v>1.49E-2</v>
      </c>
      <c r="AX166" s="152">
        <v>8.8999999999999999E-3</v>
      </c>
      <c r="AY166" s="152">
        <v>8.8999999999999999E-3</v>
      </c>
      <c r="AZ166" s="71" t="s">
        <v>31</v>
      </c>
      <c r="BA166" s="71" t="s">
        <v>31</v>
      </c>
    </row>
    <row r="167" spans="1:53" x14ac:dyDescent="0.2">
      <c r="A167" s="71">
        <v>0.1</v>
      </c>
      <c r="B167" s="150">
        <v>8.0000000000000002E-3</v>
      </c>
      <c r="C167" s="150">
        <v>1.4E-2</v>
      </c>
      <c r="D167" s="150">
        <v>8.0000000000000002E-3</v>
      </c>
      <c r="E167" s="150">
        <v>1.2E-2</v>
      </c>
      <c r="F167" s="150">
        <v>7.0000000000000001E-3</v>
      </c>
      <c r="G167" s="150">
        <v>1.4E-2</v>
      </c>
      <c r="H167" s="150">
        <v>8.0000000000000002E-3</v>
      </c>
      <c r="I167" s="150">
        <v>8.0000000000000002E-3</v>
      </c>
      <c r="J167" s="162">
        <v>1.4E-2</v>
      </c>
      <c r="K167" s="162">
        <v>1.4E-2</v>
      </c>
      <c r="L167" s="157">
        <v>1.38E-2</v>
      </c>
      <c r="M167" s="162">
        <v>1.2999999999999999E-2</v>
      </c>
      <c r="N167" s="93" t="s">
        <v>31</v>
      </c>
      <c r="O167" s="93" t="s">
        <v>31</v>
      </c>
      <c r="P167" s="93" t="s">
        <v>31</v>
      </c>
      <c r="Q167" s="93" t="s">
        <v>31</v>
      </c>
      <c r="R167" s="93">
        <v>1.7999999999999999E-2</v>
      </c>
      <c r="S167" s="93">
        <v>1.7999999999999999E-2</v>
      </c>
      <c r="T167" s="93">
        <v>1.6E-2</v>
      </c>
      <c r="U167" s="93">
        <v>1.6E-2</v>
      </c>
      <c r="V167" s="92">
        <v>1.6E-2</v>
      </c>
      <c r="W167" s="163">
        <v>1.6E-2</v>
      </c>
      <c r="X167" s="163">
        <v>1.6E-2</v>
      </c>
      <c r="Y167" s="93">
        <v>1.6E-2</v>
      </c>
      <c r="Z167" s="93">
        <v>1.6E-2</v>
      </c>
      <c r="AA167" s="152">
        <v>7.7000000000000002E-3</v>
      </c>
      <c r="AB167" s="152">
        <v>7.7000000000000002E-3</v>
      </c>
      <c r="AC167" s="152">
        <v>1.24E-2</v>
      </c>
      <c r="AD167" s="152">
        <v>7.7000000000000002E-3</v>
      </c>
      <c r="AE167" s="152">
        <v>7.7000000000000002E-3</v>
      </c>
      <c r="AF167" s="152">
        <v>1.24E-2</v>
      </c>
      <c r="AG167" s="93" t="s">
        <v>31</v>
      </c>
      <c r="AH167" s="93" t="s">
        <v>31</v>
      </c>
      <c r="AI167" s="93" t="s">
        <v>31</v>
      </c>
      <c r="AJ167" s="93" t="s">
        <v>31</v>
      </c>
      <c r="AK167" s="160">
        <v>1.4E-2</v>
      </c>
      <c r="AL167" s="160">
        <v>1.4E-2</v>
      </c>
      <c r="AM167" s="152">
        <v>1.3299999999999999E-2</v>
      </c>
      <c r="AN167" s="96">
        <v>1.5800000000000002E-2</v>
      </c>
      <c r="AO167" s="152">
        <v>1.4800000000000001E-2</v>
      </c>
      <c r="AP167" s="152">
        <v>1.49E-2</v>
      </c>
      <c r="AQ167" s="152">
        <v>8.8999999999999999E-3</v>
      </c>
      <c r="AR167" s="152">
        <v>8.8999999999999999E-3</v>
      </c>
      <c r="AS167" s="71" t="s">
        <v>31</v>
      </c>
      <c r="AT167" s="71" t="s">
        <v>31</v>
      </c>
      <c r="AU167" s="152">
        <v>1.3299999999999999E-2</v>
      </c>
      <c r="AV167" s="152">
        <v>1.4800000000000001E-2</v>
      </c>
      <c r="AW167" s="152">
        <v>1.49E-2</v>
      </c>
      <c r="AX167" s="152">
        <v>8.8999999999999999E-3</v>
      </c>
      <c r="AY167" s="152">
        <v>8.8999999999999999E-3</v>
      </c>
      <c r="AZ167" s="71" t="s">
        <v>31</v>
      </c>
      <c r="BA167" s="71" t="s">
        <v>31</v>
      </c>
    </row>
    <row r="168" spans="1:53" x14ac:dyDescent="0.2">
      <c r="A168" s="71">
        <f>300000000/1000000000</f>
        <v>0.3</v>
      </c>
      <c r="B168" s="150">
        <v>8.0000000000000002E-3</v>
      </c>
      <c r="C168" s="150">
        <v>1.4E-2</v>
      </c>
      <c r="D168" s="150">
        <v>8.0000000000000002E-3</v>
      </c>
      <c r="E168" s="150">
        <v>1.2E-2</v>
      </c>
      <c r="F168" s="150">
        <v>7.0000000000000001E-3</v>
      </c>
      <c r="G168" s="150">
        <v>1.4E-2</v>
      </c>
      <c r="H168" s="150">
        <v>8.0000000000000002E-3</v>
      </c>
      <c r="I168" s="150">
        <v>8.0000000000000002E-3</v>
      </c>
      <c r="J168" s="162">
        <v>1.4E-2</v>
      </c>
      <c r="K168" s="162">
        <v>1.4E-2</v>
      </c>
      <c r="L168" s="157">
        <v>1.38E-2</v>
      </c>
      <c r="M168" s="162">
        <v>1.2999999999999999E-2</v>
      </c>
      <c r="N168" s="93" t="s">
        <v>31</v>
      </c>
      <c r="O168" s="93" t="s">
        <v>31</v>
      </c>
      <c r="P168" s="93" t="s">
        <v>31</v>
      </c>
      <c r="Q168" s="93" t="s">
        <v>31</v>
      </c>
      <c r="R168" s="93">
        <v>1.7999999999999999E-2</v>
      </c>
      <c r="S168" s="93">
        <v>1.7999999999999999E-2</v>
      </c>
      <c r="T168" s="93">
        <v>1.6E-2</v>
      </c>
      <c r="U168" s="93">
        <v>1.6E-2</v>
      </c>
      <c r="V168" s="92">
        <v>1.6E-2</v>
      </c>
      <c r="W168" s="93">
        <v>1.6E-2</v>
      </c>
      <c r="X168" s="93">
        <v>1.6E-2</v>
      </c>
      <c r="Y168" s="93">
        <v>1.6E-2</v>
      </c>
      <c r="Z168" s="93">
        <v>1.6E-2</v>
      </c>
      <c r="AA168" s="152">
        <v>7.7000000000000002E-3</v>
      </c>
      <c r="AB168" s="152">
        <v>7.7000000000000002E-3</v>
      </c>
      <c r="AC168" s="152">
        <v>1.24E-2</v>
      </c>
      <c r="AD168" s="152">
        <v>7.7000000000000002E-3</v>
      </c>
      <c r="AE168" s="152">
        <v>7.7000000000000002E-3</v>
      </c>
      <c r="AF168" s="152">
        <v>1.24E-2</v>
      </c>
      <c r="AG168" s="93" t="s">
        <v>31</v>
      </c>
      <c r="AH168" s="93" t="s">
        <v>31</v>
      </c>
      <c r="AI168" s="93" t="s">
        <v>31</v>
      </c>
      <c r="AJ168" s="93" t="s">
        <v>31</v>
      </c>
      <c r="AK168" s="160">
        <v>1.4E-2</v>
      </c>
      <c r="AL168" s="160">
        <v>1.4E-2</v>
      </c>
      <c r="AM168" s="152">
        <v>1.3299999999999999E-2</v>
      </c>
      <c r="AN168" s="96">
        <v>1.5800000000000002E-2</v>
      </c>
      <c r="AO168" s="152">
        <v>1.4800000000000001E-2</v>
      </c>
      <c r="AP168" s="152">
        <v>1.49E-2</v>
      </c>
      <c r="AQ168" s="152">
        <v>8.8999999999999999E-3</v>
      </c>
      <c r="AR168" s="152">
        <v>8.8999999999999999E-3</v>
      </c>
      <c r="AS168" s="71" t="s">
        <v>31</v>
      </c>
      <c r="AT168" s="71" t="s">
        <v>31</v>
      </c>
      <c r="AU168" s="152">
        <v>1.3299999999999999E-2</v>
      </c>
      <c r="AV168" s="152">
        <v>1.4800000000000001E-2</v>
      </c>
      <c r="AW168" s="152">
        <v>1.49E-2</v>
      </c>
      <c r="AX168" s="152">
        <v>8.8999999999999999E-3</v>
      </c>
      <c r="AY168" s="152">
        <v>8.8999999999999999E-3</v>
      </c>
      <c r="AZ168" s="71" t="s">
        <v>31</v>
      </c>
      <c r="BA168" s="71" t="s">
        <v>31</v>
      </c>
    </row>
    <row r="169" spans="1:53" x14ac:dyDescent="0.2">
      <c r="A169" s="71">
        <f>500000000/1000000000</f>
        <v>0.5</v>
      </c>
      <c r="B169" s="150">
        <v>8.0000000000000002E-3</v>
      </c>
      <c r="C169" s="150">
        <v>1.4E-2</v>
      </c>
      <c r="D169" s="150">
        <v>8.0000000000000002E-3</v>
      </c>
      <c r="E169" s="150">
        <v>1.2E-2</v>
      </c>
      <c r="F169" s="150">
        <v>7.0000000000000001E-3</v>
      </c>
      <c r="G169" s="150">
        <v>1.4E-2</v>
      </c>
      <c r="H169" s="150">
        <v>8.0000000000000002E-3</v>
      </c>
      <c r="I169" s="150">
        <v>8.0000000000000002E-3</v>
      </c>
      <c r="J169" s="162">
        <v>1.4E-2</v>
      </c>
      <c r="K169" s="162">
        <v>1.4E-2</v>
      </c>
      <c r="L169" s="157">
        <v>1.34E-2</v>
      </c>
      <c r="M169" s="162">
        <v>1.2999999999999999E-2</v>
      </c>
      <c r="N169" s="93" t="s">
        <v>31</v>
      </c>
      <c r="O169" s="93" t="s">
        <v>31</v>
      </c>
      <c r="P169" s="93" t="s">
        <v>31</v>
      </c>
      <c r="Q169" s="93" t="s">
        <v>31</v>
      </c>
      <c r="R169" s="93">
        <v>1.7999999999999999E-2</v>
      </c>
      <c r="S169" s="93">
        <v>1.7999999999999999E-2</v>
      </c>
      <c r="T169" s="93">
        <v>1.7999999999999999E-2</v>
      </c>
      <c r="U169" s="93">
        <v>1.7999999999999999E-2</v>
      </c>
      <c r="V169" s="93">
        <v>1.7999999999999999E-2</v>
      </c>
      <c r="W169" s="93">
        <v>1.7999999999999999E-2</v>
      </c>
      <c r="X169" s="93">
        <v>1.7999999999999999E-2</v>
      </c>
      <c r="Y169" s="93">
        <v>1.7999999999999999E-2</v>
      </c>
      <c r="Z169" s="93">
        <v>1.7999999999999999E-2</v>
      </c>
      <c r="AA169" s="152">
        <v>7.7999999999999996E-3</v>
      </c>
      <c r="AB169" s="152">
        <v>7.7999999999999996E-3</v>
      </c>
      <c r="AC169" s="152">
        <v>1.26E-2</v>
      </c>
      <c r="AD169" s="152">
        <v>7.7999999999999996E-3</v>
      </c>
      <c r="AE169" s="152">
        <v>7.7999999999999996E-3</v>
      </c>
      <c r="AF169" s="152">
        <v>1.26E-2</v>
      </c>
      <c r="AG169" s="93" t="s">
        <v>31</v>
      </c>
      <c r="AH169" s="93" t="s">
        <v>31</v>
      </c>
      <c r="AI169" s="93" t="s">
        <v>31</v>
      </c>
      <c r="AJ169" s="93" t="s">
        <v>31</v>
      </c>
      <c r="AK169" s="160">
        <v>1.4E-2</v>
      </c>
      <c r="AL169" s="160">
        <v>1.4E-2</v>
      </c>
      <c r="AM169" s="152">
        <v>1.35E-2</v>
      </c>
      <c r="AN169" s="96">
        <v>1.5800000000000002E-2</v>
      </c>
      <c r="AO169" s="152">
        <v>1.4800000000000001E-2</v>
      </c>
      <c r="AP169" s="152">
        <v>1.49E-2</v>
      </c>
      <c r="AQ169" s="152">
        <v>8.8999999999999999E-3</v>
      </c>
      <c r="AR169" s="152">
        <v>8.8999999999999999E-3</v>
      </c>
      <c r="AS169" s="71" t="s">
        <v>31</v>
      </c>
      <c r="AT169" s="71" t="s">
        <v>31</v>
      </c>
      <c r="AU169" s="152">
        <v>1.35E-2</v>
      </c>
      <c r="AV169" s="152">
        <v>1.4800000000000001E-2</v>
      </c>
      <c r="AW169" s="152">
        <v>1.49E-2</v>
      </c>
      <c r="AX169" s="152">
        <v>8.8999999999999999E-3</v>
      </c>
      <c r="AY169" s="152">
        <v>8.8999999999999999E-3</v>
      </c>
      <c r="AZ169" s="71" t="s">
        <v>31</v>
      </c>
      <c r="BA169" s="71" t="s">
        <v>31</v>
      </c>
    </row>
    <row r="170" spans="1:53" x14ac:dyDescent="0.2">
      <c r="A170" s="71">
        <v>1</v>
      </c>
      <c r="B170" s="150">
        <v>8.0000000000000002E-3</v>
      </c>
      <c r="C170" s="150">
        <v>1.4999999999999999E-2</v>
      </c>
      <c r="D170" s="150">
        <v>8.9999999999999993E-3</v>
      </c>
      <c r="E170" s="150">
        <v>1.2E-2</v>
      </c>
      <c r="F170" s="150">
        <v>7.0000000000000001E-3</v>
      </c>
      <c r="G170" s="150">
        <v>1.4E-2</v>
      </c>
      <c r="H170" s="150">
        <v>8.0000000000000002E-3</v>
      </c>
      <c r="I170" s="150">
        <v>8.0000000000000002E-3</v>
      </c>
      <c r="J170" s="162">
        <v>1.4E-2</v>
      </c>
      <c r="K170" s="162">
        <v>1.4E-2</v>
      </c>
      <c r="L170" s="157">
        <v>1.34E-2</v>
      </c>
      <c r="M170" s="162">
        <v>1.2999999999999999E-2</v>
      </c>
      <c r="N170" s="93" t="s">
        <v>31</v>
      </c>
      <c r="O170" s="93" t="s">
        <v>31</v>
      </c>
      <c r="P170" s="93" t="s">
        <v>31</v>
      </c>
      <c r="Q170" s="93" t="s">
        <v>31</v>
      </c>
      <c r="R170" s="93">
        <v>1.7999999999999999E-2</v>
      </c>
      <c r="S170" s="93">
        <v>1.7999999999999999E-2</v>
      </c>
      <c r="T170" s="93">
        <v>1.7999999999999999E-2</v>
      </c>
      <c r="U170" s="93">
        <v>1.7999999999999999E-2</v>
      </c>
      <c r="V170" s="93">
        <v>1.7999999999999999E-2</v>
      </c>
      <c r="W170" s="93">
        <v>1.7999999999999999E-2</v>
      </c>
      <c r="X170" s="93">
        <v>1.7999999999999999E-2</v>
      </c>
      <c r="Y170" s="93">
        <v>1.7999999999999999E-2</v>
      </c>
      <c r="Z170" s="93">
        <v>1.7999999999999999E-2</v>
      </c>
      <c r="AA170" s="152">
        <v>7.7999999999999996E-3</v>
      </c>
      <c r="AB170" s="152">
        <v>7.7999999999999996E-3</v>
      </c>
      <c r="AC170" s="152">
        <v>1.26E-2</v>
      </c>
      <c r="AD170" s="152">
        <v>7.7999999999999996E-3</v>
      </c>
      <c r="AE170" s="152">
        <v>7.7999999999999996E-3</v>
      </c>
      <c r="AF170" s="152">
        <v>1.26E-2</v>
      </c>
      <c r="AG170" s="93" t="s">
        <v>31</v>
      </c>
      <c r="AH170" s="93" t="s">
        <v>31</v>
      </c>
      <c r="AI170" s="93" t="s">
        <v>31</v>
      </c>
      <c r="AJ170" s="93" t="s">
        <v>31</v>
      </c>
      <c r="AK170" s="160">
        <v>1.4E-2</v>
      </c>
      <c r="AL170" s="160">
        <v>1.4E-2</v>
      </c>
      <c r="AM170" s="152">
        <v>1.35E-2</v>
      </c>
      <c r="AN170" s="96">
        <v>1.5800000000000002E-2</v>
      </c>
      <c r="AO170" s="152">
        <v>1.4800000000000001E-2</v>
      </c>
      <c r="AP170" s="152">
        <v>1.49E-2</v>
      </c>
      <c r="AQ170" s="152">
        <v>8.8999999999999999E-3</v>
      </c>
      <c r="AR170" s="152">
        <v>8.8999999999999999E-3</v>
      </c>
      <c r="AS170" s="71" t="s">
        <v>31</v>
      </c>
      <c r="AT170" s="71" t="s">
        <v>31</v>
      </c>
      <c r="AU170" s="152">
        <v>1.35E-2</v>
      </c>
      <c r="AV170" s="152">
        <v>1.4800000000000001E-2</v>
      </c>
      <c r="AW170" s="152">
        <v>1.49E-2</v>
      </c>
      <c r="AX170" s="152">
        <v>8.8999999999999999E-3</v>
      </c>
      <c r="AY170" s="152">
        <v>8.8999999999999999E-3</v>
      </c>
      <c r="AZ170" s="71" t="s">
        <v>31</v>
      </c>
      <c r="BA170" s="71" t="s">
        <v>31</v>
      </c>
    </row>
    <row r="171" spans="1:53" x14ac:dyDescent="0.2">
      <c r="A171" s="71">
        <v>1.2</v>
      </c>
      <c r="B171" s="150">
        <v>8.0000000000000002E-3</v>
      </c>
      <c r="C171" s="150">
        <v>1.4999999999999999E-2</v>
      </c>
      <c r="D171" s="150">
        <v>8.9999999999999993E-3</v>
      </c>
      <c r="E171" s="150">
        <v>1.2E-2</v>
      </c>
      <c r="F171" s="150">
        <v>7.0000000000000001E-3</v>
      </c>
      <c r="G171" s="150">
        <v>1.4E-2</v>
      </c>
      <c r="H171" s="150">
        <v>8.0000000000000002E-3</v>
      </c>
      <c r="I171" s="150">
        <v>8.0000000000000002E-3</v>
      </c>
      <c r="J171" s="162">
        <v>1.4E-2</v>
      </c>
      <c r="K171" s="162">
        <v>1.4E-2</v>
      </c>
      <c r="L171" s="157">
        <v>1.41E-2</v>
      </c>
      <c r="M171" s="150">
        <v>1.2999999999999999E-2</v>
      </c>
      <c r="N171" s="93" t="s">
        <v>31</v>
      </c>
      <c r="O171" s="93" t="s">
        <v>31</v>
      </c>
      <c r="P171" s="93" t="s">
        <v>31</v>
      </c>
      <c r="Q171" s="93" t="s">
        <v>31</v>
      </c>
      <c r="R171" s="93">
        <v>1.7999999999999999E-2</v>
      </c>
      <c r="S171" s="93">
        <v>1.7999999999999999E-2</v>
      </c>
      <c r="T171" s="93">
        <v>1.7000000000000001E-2</v>
      </c>
      <c r="U171" s="93">
        <v>1.7000000000000001E-2</v>
      </c>
      <c r="V171" s="93">
        <v>1.7000000000000001E-2</v>
      </c>
      <c r="W171" s="93">
        <v>1.7000000000000001E-2</v>
      </c>
      <c r="X171" s="93">
        <v>1.7000000000000001E-2</v>
      </c>
      <c r="Y171" s="93">
        <v>1.7000000000000001E-2</v>
      </c>
      <c r="Z171" s="93">
        <v>1.7000000000000001E-2</v>
      </c>
      <c r="AA171" s="152">
        <v>9.1000000000000004E-3</v>
      </c>
      <c r="AB171" s="152">
        <v>8.8999999999999999E-3</v>
      </c>
      <c r="AC171" s="152">
        <v>1.35E-2</v>
      </c>
      <c r="AD171" s="152">
        <v>9.1000000000000004E-3</v>
      </c>
      <c r="AE171" s="152">
        <v>8.8999999999999999E-3</v>
      </c>
      <c r="AF171" s="152">
        <v>1.35E-2</v>
      </c>
      <c r="AG171" s="93" t="s">
        <v>31</v>
      </c>
      <c r="AH171" s="93" t="s">
        <v>31</v>
      </c>
      <c r="AI171" s="93" t="s">
        <v>31</v>
      </c>
      <c r="AJ171" s="93" t="s">
        <v>31</v>
      </c>
      <c r="AK171" s="160">
        <v>1.4E-2</v>
      </c>
      <c r="AL171" s="160">
        <v>1.4E-2</v>
      </c>
      <c r="AM171" s="152">
        <v>1.41E-2</v>
      </c>
      <c r="AN171" s="96">
        <v>1.5800000000000002E-2</v>
      </c>
      <c r="AO171" s="152">
        <v>1.5800000000000002E-2</v>
      </c>
      <c r="AP171" s="152">
        <v>1.5599999999999999E-2</v>
      </c>
      <c r="AQ171" s="152">
        <v>1.06E-2</v>
      </c>
      <c r="AR171" s="152">
        <v>1.0200000000000001E-2</v>
      </c>
      <c r="AS171" s="71" t="s">
        <v>31</v>
      </c>
      <c r="AT171" s="71" t="s">
        <v>31</v>
      </c>
      <c r="AU171" s="152">
        <v>1.41E-2</v>
      </c>
      <c r="AV171" s="152">
        <v>1.5800000000000002E-2</v>
      </c>
      <c r="AW171" s="152">
        <v>1.5599999999999999E-2</v>
      </c>
      <c r="AX171" s="152">
        <v>1.06E-2</v>
      </c>
      <c r="AY171" s="152">
        <v>1.0200000000000001E-2</v>
      </c>
      <c r="AZ171" s="71" t="s">
        <v>31</v>
      </c>
      <c r="BA171" s="71" t="s">
        <v>31</v>
      </c>
    </row>
    <row r="172" spans="1:53" x14ac:dyDescent="0.2">
      <c r="A172" s="71">
        <v>2</v>
      </c>
      <c r="B172" s="150">
        <v>8.0000000000000002E-3</v>
      </c>
      <c r="C172" s="150">
        <v>1.4999999999999999E-2</v>
      </c>
      <c r="D172" s="150">
        <v>8.0000000000000002E-3</v>
      </c>
      <c r="E172" s="150">
        <v>1.2E-2</v>
      </c>
      <c r="F172" s="150">
        <v>7.0000000000000001E-3</v>
      </c>
      <c r="G172" s="150">
        <v>1.4E-2</v>
      </c>
      <c r="H172" s="150">
        <v>8.0000000000000002E-3</v>
      </c>
      <c r="I172" s="150">
        <v>8.0000000000000002E-3</v>
      </c>
      <c r="J172" s="162">
        <v>1.4E-2</v>
      </c>
      <c r="K172" s="162">
        <v>1.4E-2</v>
      </c>
      <c r="L172" s="157">
        <v>1.41E-2</v>
      </c>
      <c r="M172" s="150">
        <v>1.2999999999999999E-2</v>
      </c>
      <c r="N172" s="93" t="s">
        <v>31</v>
      </c>
      <c r="O172" s="93" t="s">
        <v>31</v>
      </c>
      <c r="P172" s="93" t="s">
        <v>31</v>
      </c>
      <c r="Q172" s="93" t="s">
        <v>31</v>
      </c>
      <c r="R172" s="93">
        <v>2.4E-2</v>
      </c>
      <c r="S172" s="93">
        <v>2.4E-2</v>
      </c>
      <c r="T172" s="93">
        <v>1.7000000000000001E-2</v>
      </c>
      <c r="U172" s="93">
        <v>1.7000000000000001E-2</v>
      </c>
      <c r="V172" s="93">
        <v>1.7000000000000001E-2</v>
      </c>
      <c r="W172" s="93">
        <v>1.7000000000000001E-2</v>
      </c>
      <c r="X172" s="93">
        <v>1.7000000000000001E-2</v>
      </c>
      <c r="Y172" s="93">
        <v>1.7000000000000001E-2</v>
      </c>
      <c r="Z172" s="93">
        <v>1.7000000000000001E-2</v>
      </c>
      <c r="AA172" s="152">
        <v>9.1000000000000004E-3</v>
      </c>
      <c r="AB172" s="152">
        <v>8.8999999999999999E-3</v>
      </c>
      <c r="AC172" s="152">
        <v>1.35E-2</v>
      </c>
      <c r="AD172" s="152">
        <v>9.1000000000000004E-3</v>
      </c>
      <c r="AE172" s="152">
        <v>8.8999999999999999E-3</v>
      </c>
      <c r="AF172" s="152">
        <v>1.35E-2</v>
      </c>
      <c r="AG172" s="93" t="s">
        <v>31</v>
      </c>
      <c r="AH172" s="93" t="s">
        <v>31</v>
      </c>
      <c r="AI172" s="93" t="s">
        <v>31</v>
      </c>
      <c r="AJ172" s="93" t="s">
        <v>31</v>
      </c>
      <c r="AK172" s="160">
        <v>1.4E-2</v>
      </c>
      <c r="AL172" s="160">
        <v>1.4E-2</v>
      </c>
      <c r="AM172" s="152">
        <v>1.41E-2</v>
      </c>
      <c r="AN172" s="96">
        <v>1.7500000000000002E-2</v>
      </c>
      <c r="AO172" s="152">
        <v>1.5800000000000002E-2</v>
      </c>
      <c r="AP172" s="152">
        <v>1.5599999999999999E-2</v>
      </c>
      <c r="AQ172" s="152">
        <v>1.06E-2</v>
      </c>
      <c r="AR172" s="152">
        <v>1.0200000000000001E-2</v>
      </c>
      <c r="AS172" s="71" t="s">
        <v>31</v>
      </c>
      <c r="AT172" s="71" t="s">
        <v>31</v>
      </c>
      <c r="AU172" s="152">
        <v>1.41E-2</v>
      </c>
      <c r="AV172" s="152">
        <v>1.5800000000000002E-2</v>
      </c>
      <c r="AW172" s="152">
        <v>1.5599999999999999E-2</v>
      </c>
      <c r="AX172" s="152">
        <v>1.06E-2</v>
      </c>
      <c r="AY172" s="152">
        <v>1.0200000000000001E-2</v>
      </c>
      <c r="AZ172" s="71" t="s">
        <v>31</v>
      </c>
      <c r="BA172" s="71" t="s">
        <v>31</v>
      </c>
    </row>
    <row r="173" spans="1:53" x14ac:dyDescent="0.2">
      <c r="A173" s="71">
        <v>4</v>
      </c>
      <c r="B173" s="150">
        <v>8.9999999999999993E-3</v>
      </c>
      <c r="C173" s="150">
        <v>1.4999999999999999E-2</v>
      </c>
      <c r="D173" s="150">
        <v>8.9999999999999993E-3</v>
      </c>
      <c r="E173" s="93" t="s">
        <v>31</v>
      </c>
      <c r="F173" s="150">
        <v>8.0000000000000002E-3</v>
      </c>
      <c r="G173" s="150">
        <v>1.4999999999999999E-2</v>
      </c>
      <c r="H173" s="150">
        <v>8.0000000000000002E-3</v>
      </c>
      <c r="I173" s="150">
        <v>8.0000000000000002E-3</v>
      </c>
      <c r="J173" s="150">
        <v>1.7000000000000001E-2</v>
      </c>
      <c r="K173" s="150">
        <v>1.7000000000000001E-2</v>
      </c>
      <c r="L173" s="157">
        <v>1.41E-2</v>
      </c>
      <c r="M173" s="150">
        <v>1.4E-2</v>
      </c>
      <c r="N173" s="93" t="s">
        <v>31</v>
      </c>
      <c r="O173" s="93" t="s">
        <v>31</v>
      </c>
      <c r="P173" s="93" t="s">
        <v>31</v>
      </c>
      <c r="Q173" s="93" t="s">
        <v>31</v>
      </c>
      <c r="R173" s="93">
        <v>2.4E-2</v>
      </c>
      <c r="S173" s="93">
        <v>2.4E-2</v>
      </c>
      <c r="T173" s="93">
        <v>1.7000000000000001E-2</v>
      </c>
      <c r="U173" s="93">
        <v>1.7000000000000001E-2</v>
      </c>
      <c r="V173" s="93">
        <v>1.7000000000000001E-2</v>
      </c>
      <c r="W173" s="93">
        <v>1.7000000000000001E-2</v>
      </c>
      <c r="X173" s="93">
        <v>1.7000000000000001E-2</v>
      </c>
      <c r="Y173" s="93">
        <v>1.7000000000000001E-2</v>
      </c>
      <c r="Z173" s="93">
        <v>1.7000000000000001E-2</v>
      </c>
      <c r="AA173" s="152">
        <v>9.1000000000000004E-3</v>
      </c>
      <c r="AB173" s="152">
        <v>8.8999999999999999E-3</v>
      </c>
      <c r="AC173" s="152">
        <v>1.35E-2</v>
      </c>
      <c r="AD173" s="152">
        <v>9.1000000000000004E-3</v>
      </c>
      <c r="AE173" s="152">
        <v>8.8999999999999999E-3</v>
      </c>
      <c r="AF173" s="152">
        <v>1.35E-2</v>
      </c>
      <c r="AG173" s="93" t="s">
        <v>31</v>
      </c>
      <c r="AH173" s="93" t="s">
        <v>31</v>
      </c>
      <c r="AI173" s="93" t="s">
        <v>31</v>
      </c>
      <c r="AJ173" s="93" t="s">
        <v>31</v>
      </c>
      <c r="AK173" s="160">
        <v>1.7000000000000001E-2</v>
      </c>
      <c r="AL173" s="160">
        <v>1.7000000000000001E-2</v>
      </c>
      <c r="AM173" s="152">
        <v>1.41E-2</v>
      </c>
      <c r="AN173" s="96">
        <v>1.7500000000000002E-2</v>
      </c>
      <c r="AO173" s="152">
        <v>1.5800000000000002E-2</v>
      </c>
      <c r="AP173" s="152">
        <v>1.5599999999999999E-2</v>
      </c>
      <c r="AQ173" s="152">
        <v>1.06E-2</v>
      </c>
      <c r="AR173" s="152">
        <v>1.0200000000000001E-2</v>
      </c>
      <c r="AS173" s="71" t="s">
        <v>31</v>
      </c>
      <c r="AT173" s="71" t="s">
        <v>31</v>
      </c>
      <c r="AU173" s="152">
        <v>1.41E-2</v>
      </c>
      <c r="AV173" s="152">
        <v>1.5800000000000002E-2</v>
      </c>
      <c r="AW173" s="152">
        <v>1.5599999999999999E-2</v>
      </c>
      <c r="AX173" s="152">
        <v>1.06E-2</v>
      </c>
      <c r="AY173" s="152">
        <v>1.0200000000000001E-2</v>
      </c>
      <c r="AZ173" s="71" t="s">
        <v>31</v>
      </c>
      <c r="BA173" s="71" t="s">
        <v>31</v>
      </c>
    </row>
    <row r="174" spans="1:53" x14ac:dyDescent="0.2">
      <c r="A174" s="71">
        <v>6</v>
      </c>
      <c r="B174" s="93" t="s">
        <v>31</v>
      </c>
      <c r="C174" s="93" t="s">
        <v>31</v>
      </c>
      <c r="D174" s="93" t="s">
        <v>31</v>
      </c>
      <c r="E174" s="93" t="s">
        <v>31</v>
      </c>
      <c r="F174" s="150">
        <v>8.9999999999999993E-3</v>
      </c>
      <c r="G174" s="150">
        <v>1.4999999999999999E-2</v>
      </c>
      <c r="H174" s="150">
        <v>8.9999999999999993E-3</v>
      </c>
      <c r="I174" s="150">
        <v>8.9999999999999993E-3</v>
      </c>
      <c r="J174" s="150">
        <v>1.7000000000000001E-2</v>
      </c>
      <c r="K174" s="150">
        <v>1.7000000000000001E-2</v>
      </c>
      <c r="L174" s="157">
        <v>1.5900000000000001E-2</v>
      </c>
      <c r="M174" s="150">
        <v>1.4E-2</v>
      </c>
      <c r="N174" s="93" t="s">
        <v>31</v>
      </c>
      <c r="O174" s="93" t="s">
        <v>31</v>
      </c>
      <c r="P174" s="93" t="s">
        <v>31</v>
      </c>
      <c r="Q174" s="93" t="s">
        <v>31</v>
      </c>
      <c r="R174" s="93">
        <v>2.4E-2</v>
      </c>
      <c r="S174" s="93">
        <v>2.4E-2</v>
      </c>
      <c r="T174" s="93">
        <v>1.7999999999999999E-2</v>
      </c>
      <c r="U174" s="150">
        <v>1.7000000000000001E-2</v>
      </c>
      <c r="V174" s="93">
        <v>1.7000000000000001E-2</v>
      </c>
      <c r="W174" s="93">
        <v>1.7999999999999999E-2</v>
      </c>
      <c r="X174" s="93">
        <v>1.7999999999999999E-2</v>
      </c>
      <c r="Y174" s="93">
        <v>1.7999999999999999E-2</v>
      </c>
      <c r="Z174" s="150">
        <v>1.7000000000000001E-2</v>
      </c>
      <c r="AA174" s="152">
        <v>1.26E-2</v>
      </c>
      <c r="AB174" s="152">
        <v>8.8999999999999999E-3</v>
      </c>
      <c r="AC174" s="152">
        <v>1.66E-2</v>
      </c>
      <c r="AD174" s="152">
        <v>1.26E-2</v>
      </c>
      <c r="AE174" s="152">
        <v>8.8999999999999999E-3</v>
      </c>
      <c r="AF174" s="152">
        <v>1.66E-2</v>
      </c>
      <c r="AG174" s="93" t="s">
        <v>31</v>
      </c>
      <c r="AH174" s="93" t="s">
        <v>31</v>
      </c>
      <c r="AI174" s="93" t="s">
        <v>31</v>
      </c>
      <c r="AJ174" s="93" t="s">
        <v>31</v>
      </c>
      <c r="AK174" s="160">
        <v>1.7000000000000001E-2</v>
      </c>
      <c r="AL174" s="160">
        <v>1.7000000000000001E-2</v>
      </c>
      <c r="AM174" s="152">
        <v>1.61E-2</v>
      </c>
      <c r="AN174" s="96">
        <v>1.7500000000000002E-2</v>
      </c>
      <c r="AO174" s="152">
        <v>1.77E-2</v>
      </c>
      <c r="AP174" s="152">
        <v>1.5599999999999999E-2</v>
      </c>
      <c r="AQ174" s="152">
        <v>1.46E-2</v>
      </c>
      <c r="AR174" s="152">
        <v>1.0200000000000001E-2</v>
      </c>
      <c r="AS174" s="71" t="s">
        <v>31</v>
      </c>
      <c r="AT174" s="71" t="s">
        <v>31</v>
      </c>
      <c r="AU174" s="152">
        <v>1.61E-2</v>
      </c>
      <c r="AV174" s="152">
        <v>1.77E-2</v>
      </c>
      <c r="AW174" s="152">
        <v>1.5599999999999999E-2</v>
      </c>
      <c r="AX174" s="152">
        <v>1.46E-2</v>
      </c>
      <c r="AY174" s="152">
        <v>1.0200000000000001E-2</v>
      </c>
      <c r="AZ174" s="71" t="s">
        <v>31</v>
      </c>
      <c r="BA174" s="71" t="s">
        <v>31</v>
      </c>
    </row>
    <row r="175" spans="1:53" x14ac:dyDescent="0.2">
      <c r="A175" s="71">
        <v>8</v>
      </c>
      <c r="B175" s="93" t="s">
        <v>31</v>
      </c>
      <c r="C175" s="93" t="s">
        <v>31</v>
      </c>
      <c r="D175" s="93" t="s">
        <v>31</v>
      </c>
      <c r="E175" s="93" t="s">
        <v>31</v>
      </c>
      <c r="F175" s="150">
        <v>0.01</v>
      </c>
      <c r="G175" s="150">
        <v>1.4999999999999999E-2</v>
      </c>
      <c r="H175" s="150">
        <v>0.01</v>
      </c>
      <c r="I175" s="150">
        <v>0.01</v>
      </c>
      <c r="J175" s="150">
        <v>1.7000000000000001E-2</v>
      </c>
      <c r="K175" s="150">
        <v>1.7000000000000001E-2</v>
      </c>
      <c r="L175" s="157">
        <v>1.5900000000000001E-2</v>
      </c>
      <c r="M175" s="150">
        <v>1.4E-2</v>
      </c>
      <c r="N175" s="93" t="s">
        <v>31</v>
      </c>
      <c r="O175" s="93" t="s">
        <v>31</v>
      </c>
      <c r="P175" s="93" t="s">
        <v>31</v>
      </c>
      <c r="Q175" s="93" t="s">
        <v>31</v>
      </c>
      <c r="R175" s="93">
        <v>2.4E-2</v>
      </c>
      <c r="S175" s="93">
        <v>2.4E-2</v>
      </c>
      <c r="T175" s="93">
        <v>1.7999999999999999E-2</v>
      </c>
      <c r="U175" s="93" t="s">
        <v>31</v>
      </c>
      <c r="V175" s="93" t="s">
        <v>31</v>
      </c>
      <c r="W175" s="93">
        <v>1.7999999999999999E-2</v>
      </c>
      <c r="X175" s="93" t="s">
        <v>31</v>
      </c>
      <c r="Y175" s="93">
        <v>1.7999999999999999E-2</v>
      </c>
      <c r="Z175" s="93" t="s">
        <v>31</v>
      </c>
      <c r="AA175" s="152">
        <v>1.26E-2</v>
      </c>
      <c r="AB175" s="93" t="s">
        <v>31</v>
      </c>
      <c r="AC175" s="152">
        <v>1.66E-2</v>
      </c>
      <c r="AD175" s="152">
        <v>1.26E-2</v>
      </c>
      <c r="AE175" s="93" t="s">
        <v>31</v>
      </c>
      <c r="AF175" s="152">
        <v>1.66E-2</v>
      </c>
      <c r="AG175" s="93" t="s">
        <v>31</v>
      </c>
      <c r="AH175" s="93" t="s">
        <v>31</v>
      </c>
      <c r="AI175" s="93" t="s">
        <v>31</v>
      </c>
      <c r="AJ175" s="93" t="s">
        <v>31</v>
      </c>
      <c r="AK175" s="160">
        <v>1.7000000000000001E-2</v>
      </c>
      <c r="AL175" s="160">
        <v>1.7000000000000001E-2</v>
      </c>
      <c r="AM175" s="152">
        <v>1.61E-2</v>
      </c>
      <c r="AN175" s="96">
        <v>1.7500000000000002E-2</v>
      </c>
      <c r="AO175" s="152">
        <v>1.77E-2</v>
      </c>
      <c r="AP175" s="71" t="s">
        <v>31</v>
      </c>
      <c r="AQ175" s="152">
        <v>1.46E-2</v>
      </c>
      <c r="AR175" s="71" t="s">
        <v>31</v>
      </c>
      <c r="AS175" s="71" t="s">
        <v>31</v>
      </c>
      <c r="AT175" s="71" t="s">
        <v>31</v>
      </c>
      <c r="AU175" s="152">
        <v>1.61E-2</v>
      </c>
      <c r="AV175" s="152">
        <v>1.77E-2</v>
      </c>
      <c r="AW175" s="71" t="s">
        <v>31</v>
      </c>
      <c r="AX175" s="152">
        <v>1.46E-2</v>
      </c>
      <c r="AY175" s="71" t="s">
        <v>31</v>
      </c>
      <c r="AZ175" s="71" t="s">
        <v>31</v>
      </c>
      <c r="BA175" s="71" t="s">
        <v>31</v>
      </c>
    </row>
    <row r="176" spans="1:53" x14ac:dyDescent="0.2">
      <c r="A176" s="71">
        <v>10</v>
      </c>
      <c r="B176" s="93" t="s">
        <v>31</v>
      </c>
      <c r="C176" s="93" t="s">
        <v>31</v>
      </c>
      <c r="D176" s="93" t="s">
        <v>31</v>
      </c>
      <c r="E176" s="93" t="s">
        <v>31</v>
      </c>
      <c r="F176" s="150">
        <v>0.01</v>
      </c>
      <c r="G176" s="150">
        <v>1.6E-2</v>
      </c>
      <c r="H176" s="150">
        <v>0.01</v>
      </c>
      <c r="I176" s="150">
        <v>1.0999999999999999E-2</v>
      </c>
      <c r="J176" s="150">
        <v>1.9E-2</v>
      </c>
      <c r="K176" s="150">
        <v>1.9E-2</v>
      </c>
      <c r="L176" s="157">
        <v>1.5900000000000001E-2</v>
      </c>
      <c r="M176" s="150">
        <v>1.4999999999999999E-2</v>
      </c>
      <c r="N176" s="93" t="s">
        <v>31</v>
      </c>
      <c r="O176" s="93" t="s">
        <v>31</v>
      </c>
      <c r="P176" s="93" t="s">
        <v>31</v>
      </c>
      <c r="Q176" s="93" t="s">
        <v>31</v>
      </c>
      <c r="R176" s="93">
        <v>2.4E-2</v>
      </c>
      <c r="S176" s="93">
        <v>2.5999999999999999E-2</v>
      </c>
      <c r="T176" s="93">
        <v>1.7999999999999999E-2</v>
      </c>
      <c r="U176" s="93" t="s">
        <v>31</v>
      </c>
      <c r="V176" s="93" t="s">
        <v>31</v>
      </c>
      <c r="W176" s="93">
        <v>1.7999999999999999E-2</v>
      </c>
      <c r="X176" s="93" t="s">
        <v>31</v>
      </c>
      <c r="Y176" s="93">
        <v>1.7999999999999999E-2</v>
      </c>
      <c r="Z176" s="93" t="s">
        <v>31</v>
      </c>
      <c r="AA176" s="152">
        <v>1.26E-2</v>
      </c>
      <c r="AB176" s="93" t="s">
        <v>31</v>
      </c>
      <c r="AC176" s="152">
        <v>1.66E-2</v>
      </c>
      <c r="AD176" s="152">
        <v>1.26E-2</v>
      </c>
      <c r="AE176" s="93" t="s">
        <v>31</v>
      </c>
      <c r="AF176" s="152">
        <v>1.66E-2</v>
      </c>
      <c r="AG176" s="93" t="s">
        <v>31</v>
      </c>
      <c r="AH176" s="93" t="s">
        <v>31</v>
      </c>
      <c r="AI176" s="93" t="s">
        <v>31</v>
      </c>
      <c r="AJ176" s="93" t="s">
        <v>31</v>
      </c>
      <c r="AK176" s="160">
        <v>1.9E-2</v>
      </c>
      <c r="AL176" s="160">
        <v>1.9E-2</v>
      </c>
      <c r="AM176" s="152">
        <v>1.61E-2</v>
      </c>
      <c r="AN176" s="96">
        <v>1.7500000000000002E-2</v>
      </c>
      <c r="AO176" s="152">
        <v>1.77E-2</v>
      </c>
      <c r="AP176" s="71" t="s">
        <v>31</v>
      </c>
      <c r="AQ176" s="152">
        <v>1.46E-2</v>
      </c>
      <c r="AR176" s="71" t="s">
        <v>31</v>
      </c>
      <c r="AS176" s="71" t="s">
        <v>31</v>
      </c>
      <c r="AT176" s="71" t="s">
        <v>31</v>
      </c>
      <c r="AU176" s="152">
        <v>1.61E-2</v>
      </c>
      <c r="AV176" s="152">
        <v>1.77E-2</v>
      </c>
      <c r="AW176" s="71" t="s">
        <v>31</v>
      </c>
      <c r="AX176" s="152">
        <v>1.46E-2</v>
      </c>
      <c r="AY176" s="71" t="s">
        <v>31</v>
      </c>
      <c r="AZ176" s="71" t="s">
        <v>31</v>
      </c>
      <c r="BA176" s="71" t="s">
        <v>31</v>
      </c>
    </row>
    <row r="177" spans="1:53" x14ac:dyDescent="0.2">
      <c r="A177" s="71">
        <v>11</v>
      </c>
      <c r="B177" s="93" t="s">
        <v>31</v>
      </c>
      <c r="C177" s="93" t="s">
        <v>31</v>
      </c>
      <c r="D177" s="93" t="s">
        <v>31</v>
      </c>
      <c r="E177" s="93" t="s">
        <v>31</v>
      </c>
      <c r="F177" s="150">
        <v>0.01</v>
      </c>
      <c r="G177" s="150">
        <v>1.6E-2</v>
      </c>
      <c r="H177" s="150">
        <v>0.01</v>
      </c>
      <c r="I177" s="150">
        <v>1.0999999999999999E-2</v>
      </c>
      <c r="J177" s="150">
        <v>1.9E-2</v>
      </c>
      <c r="K177" s="150">
        <v>1.9E-2</v>
      </c>
      <c r="L177" s="157">
        <v>1.5900000000000001E-2</v>
      </c>
      <c r="M177" s="150">
        <v>1.4999999999999999E-2</v>
      </c>
      <c r="N177" s="93" t="s">
        <v>31</v>
      </c>
      <c r="O177" s="93" t="s">
        <v>31</v>
      </c>
      <c r="P177" s="93" t="s">
        <v>31</v>
      </c>
      <c r="Q177" s="93" t="s">
        <v>31</v>
      </c>
      <c r="R177" s="93">
        <v>2.4E-2</v>
      </c>
      <c r="S177" s="93">
        <v>2.5999999999999999E-2</v>
      </c>
      <c r="T177" s="93">
        <v>1.7999999999999999E-2</v>
      </c>
      <c r="U177" s="93" t="s">
        <v>31</v>
      </c>
      <c r="V177" s="93" t="s">
        <v>31</v>
      </c>
      <c r="W177" s="93">
        <v>1.7999999999999999E-2</v>
      </c>
      <c r="X177" s="93" t="s">
        <v>31</v>
      </c>
      <c r="Y177" s="93">
        <v>1.7999999999999999E-2</v>
      </c>
      <c r="Z177" s="93" t="s">
        <v>31</v>
      </c>
      <c r="AA177" s="152">
        <v>1.26E-2</v>
      </c>
      <c r="AB177" s="93" t="s">
        <v>31</v>
      </c>
      <c r="AC177" s="152">
        <v>1.66E-2</v>
      </c>
      <c r="AD177" s="152">
        <v>1.26E-2</v>
      </c>
      <c r="AE177" s="93" t="s">
        <v>31</v>
      </c>
      <c r="AF177" s="152">
        <v>1.66E-2</v>
      </c>
      <c r="AG177" s="93" t="s">
        <v>31</v>
      </c>
      <c r="AH177" s="93" t="s">
        <v>31</v>
      </c>
      <c r="AI177" s="93" t="s">
        <v>31</v>
      </c>
      <c r="AJ177" s="93" t="s">
        <v>31</v>
      </c>
      <c r="AK177" s="160">
        <v>1.9E-2</v>
      </c>
      <c r="AL177" s="160">
        <v>1.9E-2</v>
      </c>
      <c r="AM177" s="152">
        <v>1.61E-2</v>
      </c>
      <c r="AN177" s="96">
        <v>1.7500000000000002E-2</v>
      </c>
      <c r="AO177" s="152">
        <v>1.77E-2</v>
      </c>
      <c r="AP177" s="71" t="s">
        <v>31</v>
      </c>
      <c r="AQ177" s="152">
        <v>1.46E-2</v>
      </c>
      <c r="AR177" s="71" t="s">
        <v>31</v>
      </c>
      <c r="AS177" s="71" t="s">
        <v>31</v>
      </c>
      <c r="AT177" s="71" t="s">
        <v>31</v>
      </c>
      <c r="AU177" s="152">
        <v>1.61E-2</v>
      </c>
      <c r="AV177" s="152">
        <v>1.77E-2</v>
      </c>
      <c r="AW177" s="71" t="s">
        <v>31</v>
      </c>
      <c r="AX177" s="152">
        <v>1.46E-2</v>
      </c>
      <c r="AY177" s="71" t="s">
        <v>31</v>
      </c>
      <c r="AZ177" s="71" t="s">
        <v>31</v>
      </c>
      <c r="BA177" s="71" t="s">
        <v>31</v>
      </c>
    </row>
    <row r="178" spans="1:53" x14ac:dyDescent="0.2">
      <c r="A178" s="71">
        <v>12</v>
      </c>
      <c r="B178" s="93" t="s">
        <v>31</v>
      </c>
      <c r="C178" s="93" t="s">
        <v>31</v>
      </c>
      <c r="D178" s="93" t="s">
        <v>31</v>
      </c>
      <c r="E178" s="93" t="s">
        <v>31</v>
      </c>
      <c r="F178" s="150">
        <v>1.0999999999999999E-2</v>
      </c>
      <c r="G178" s="150">
        <v>1.6E-2</v>
      </c>
      <c r="H178" s="150">
        <v>1.0999999999999999E-2</v>
      </c>
      <c r="I178" s="150">
        <v>1.2E-2</v>
      </c>
      <c r="J178" s="150">
        <v>1.9E-2</v>
      </c>
      <c r="K178" s="150">
        <v>1.9E-2</v>
      </c>
      <c r="L178" s="157">
        <v>1.5900000000000001E-2</v>
      </c>
      <c r="M178" s="150">
        <v>1.4999999999999999E-2</v>
      </c>
      <c r="N178" s="93" t="s">
        <v>31</v>
      </c>
      <c r="O178" s="93" t="s">
        <v>31</v>
      </c>
      <c r="P178" s="93" t="s">
        <v>31</v>
      </c>
      <c r="Q178" s="93" t="s">
        <v>31</v>
      </c>
      <c r="R178" s="93">
        <v>2.4E-2</v>
      </c>
      <c r="S178" s="93">
        <v>2.8000000000000001E-2</v>
      </c>
      <c r="T178" s="93">
        <v>1.7999999999999999E-2</v>
      </c>
      <c r="U178" s="93" t="s">
        <v>31</v>
      </c>
      <c r="V178" s="93" t="s">
        <v>31</v>
      </c>
      <c r="W178" s="93">
        <v>1.7999999999999999E-2</v>
      </c>
      <c r="X178" s="93" t="s">
        <v>31</v>
      </c>
      <c r="Y178" s="93">
        <v>1.7999999999999999E-2</v>
      </c>
      <c r="Z178" s="93" t="s">
        <v>31</v>
      </c>
      <c r="AA178" s="152">
        <v>1.26E-2</v>
      </c>
      <c r="AB178" s="93" t="s">
        <v>31</v>
      </c>
      <c r="AC178" s="152">
        <v>1.66E-2</v>
      </c>
      <c r="AD178" s="152">
        <v>1.26E-2</v>
      </c>
      <c r="AE178" s="93" t="s">
        <v>31</v>
      </c>
      <c r="AF178" s="152">
        <v>1.66E-2</v>
      </c>
      <c r="AG178" s="93" t="s">
        <v>31</v>
      </c>
      <c r="AH178" s="93" t="s">
        <v>31</v>
      </c>
      <c r="AI178" s="93" t="s">
        <v>31</v>
      </c>
      <c r="AJ178" s="93" t="s">
        <v>31</v>
      </c>
      <c r="AK178" s="160">
        <v>1.9E-2</v>
      </c>
      <c r="AL178" s="160">
        <v>1.9E-2</v>
      </c>
      <c r="AM178" s="152">
        <v>1.61E-2</v>
      </c>
      <c r="AN178" s="96">
        <v>1.7500000000000002E-2</v>
      </c>
      <c r="AO178" s="152">
        <v>1.77E-2</v>
      </c>
      <c r="AP178" s="71" t="s">
        <v>31</v>
      </c>
      <c r="AQ178" s="152">
        <v>1.46E-2</v>
      </c>
      <c r="AR178" s="71" t="s">
        <v>31</v>
      </c>
      <c r="AS178" s="71" t="s">
        <v>31</v>
      </c>
      <c r="AT178" s="71" t="s">
        <v>31</v>
      </c>
      <c r="AU178" s="152">
        <v>1.61E-2</v>
      </c>
      <c r="AV178" s="152">
        <v>1.77E-2</v>
      </c>
      <c r="AW178" s="71" t="s">
        <v>31</v>
      </c>
      <c r="AX178" s="152">
        <v>1.46E-2</v>
      </c>
      <c r="AY178" s="71" t="s">
        <v>31</v>
      </c>
      <c r="AZ178" s="71" t="s">
        <v>31</v>
      </c>
      <c r="BA178" s="71" t="s">
        <v>31</v>
      </c>
    </row>
    <row r="179" spans="1:53" x14ac:dyDescent="0.2">
      <c r="A179" s="71">
        <v>12.4</v>
      </c>
      <c r="B179" s="93" t="s">
        <v>31</v>
      </c>
      <c r="C179" s="93" t="s">
        <v>31</v>
      </c>
      <c r="D179" s="93" t="s">
        <v>31</v>
      </c>
      <c r="E179" s="93" t="s">
        <v>31</v>
      </c>
      <c r="F179" s="150">
        <v>1.0999999999999999E-2</v>
      </c>
      <c r="G179" s="150">
        <v>1.6E-2</v>
      </c>
      <c r="H179" s="150">
        <v>1.0999999999999999E-2</v>
      </c>
      <c r="I179" s="150">
        <v>1.2E-2</v>
      </c>
      <c r="J179" s="150">
        <v>1.9E-2</v>
      </c>
      <c r="K179" s="150">
        <v>1.9E-2</v>
      </c>
      <c r="L179" s="157">
        <v>1.5900000000000001E-2</v>
      </c>
      <c r="M179" s="150">
        <v>1.4999999999999999E-2</v>
      </c>
      <c r="N179" s="93" t="s">
        <v>31</v>
      </c>
      <c r="O179" s="93" t="s">
        <v>31</v>
      </c>
      <c r="P179" s="93" t="s">
        <v>31</v>
      </c>
      <c r="Q179" s="93" t="s">
        <v>31</v>
      </c>
      <c r="R179" s="93">
        <v>2.4E-2</v>
      </c>
      <c r="S179" s="93">
        <v>2.8000000000000001E-2</v>
      </c>
      <c r="T179" s="93">
        <v>1.7999999999999999E-2</v>
      </c>
      <c r="U179" s="93" t="s">
        <v>31</v>
      </c>
      <c r="V179" s="93" t="s">
        <v>31</v>
      </c>
      <c r="W179" s="93">
        <v>1.7999999999999999E-2</v>
      </c>
      <c r="X179" s="93" t="s">
        <v>31</v>
      </c>
      <c r="Y179" s="93">
        <v>1.7999999999999999E-2</v>
      </c>
      <c r="Z179" s="93" t="s">
        <v>31</v>
      </c>
      <c r="AA179" s="152">
        <v>1.26E-2</v>
      </c>
      <c r="AB179" s="93" t="s">
        <v>31</v>
      </c>
      <c r="AC179" s="152">
        <v>1.66E-2</v>
      </c>
      <c r="AD179" s="152">
        <v>1.26E-2</v>
      </c>
      <c r="AE179" s="93" t="s">
        <v>31</v>
      </c>
      <c r="AF179" s="152">
        <v>1.66E-2</v>
      </c>
      <c r="AG179" s="93" t="s">
        <v>31</v>
      </c>
      <c r="AH179" s="93" t="s">
        <v>31</v>
      </c>
      <c r="AI179" s="93" t="s">
        <v>31</v>
      </c>
      <c r="AJ179" s="93" t="s">
        <v>31</v>
      </c>
      <c r="AK179" s="160">
        <v>1.9E-2</v>
      </c>
      <c r="AL179" s="160">
        <v>1.9E-2</v>
      </c>
      <c r="AM179" s="152">
        <v>1.61E-2</v>
      </c>
      <c r="AN179" s="96">
        <v>1.9199999999999998E-2</v>
      </c>
      <c r="AO179" s="152">
        <v>1.77E-2</v>
      </c>
      <c r="AP179" s="71" t="s">
        <v>31</v>
      </c>
      <c r="AQ179" s="152">
        <v>1.46E-2</v>
      </c>
      <c r="AR179" s="71" t="s">
        <v>31</v>
      </c>
      <c r="AS179" s="71" t="s">
        <v>31</v>
      </c>
      <c r="AT179" s="71" t="s">
        <v>31</v>
      </c>
      <c r="AU179" s="152">
        <v>1.61E-2</v>
      </c>
      <c r="AV179" s="152">
        <v>1.77E-2</v>
      </c>
      <c r="AW179" s="71" t="s">
        <v>31</v>
      </c>
      <c r="AX179" s="152">
        <v>1.46E-2</v>
      </c>
      <c r="AY179" s="71" t="s">
        <v>31</v>
      </c>
      <c r="AZ179" s="71" t="s">
        <v>31</v>
      </c>
      <c r="BA179" s="71" t="s">
        <v>31</v>
      </c>
    </row>
    <row r="180" spans="1:53" x14ac:dyDescent="0.2">
      <c r="A180" s="71">
        <v>14</v>
      </c>
      <c r="B180" s="93" t="s">
        <v>31</v>
      </c>
      <c r="C180" s="93" t="s">
        <v>31</v>
      </c>
      <c r="D180" s="93" t="s">
        <v>31</v>
      </c>
      <c r="E180" s="93" t="s">
        <v>31</v>
      </c>
      <c r="F180" s="150">
        <v>1.2E-2</v>
      </c>
      <c r="G180" s="150">
        <v>1.6E-2</v>
      </c>
      <c r="H180" s="150">
        <v>1.2E-2</v>
      </c>
      <c r="I180" s="150">
        <v>1.0999999999999999E-2</v>
      </c>
      <c r="J180" s="150">
        <v>0.02</v>
      </c>
      <c r="K180" s="150">
        <v>0.02</v>
      </c>
      <c r="L180" s="157">
        <v>1.6899999999999998E-2</v>
      </c>
      <c r="M180" s="150">
        <v>1.6E-2</v>
      </c>
      <c r="N180" s="93" t="s">
        <v>31</v>
      </c>
      <c r="O180" s="93" t="s">
        <v>31</v>
      </c>
      <c r="P180" s="93" t="s">
        <v>31</v>
      </c>
      <c r="Q180" s="93" t="s">
        <v>31</v>
      </c>
      <c r="R180" s="93">
        <v>2.4E-2</v>
      </c>
      <c r="S180" s="93">
        <v>2.8000000000000001E-2</v>
      </c>
      <c r="T180" s="93">
        <v>0.02</v>
      </c>
      <c r="U180" s="93" t="s">
        <v>31</v>
      </c>
      <c r="V180" s="93" t="s">
        <v>31</v>
      </c>
      <c r="W180" s="93">
        <v>0.02</v>
      </c>
      <c r="X180" s="93" t="s">
        <v>31</v>
      </c>
      <c r="Y180" s="93">
        <v>0.02</v>
      </c>
      <c r="Z180" s="93" t="s">
        <v>31</v>
      </c>
      <c r="AA180" s="152">
        <v>1.5900000000000001E-2</v>
      </c>
      <c r="AB180" s="93" t="s">
        <v>31</v>
      </c>
      <c r="AC180" s="152">
        <v>1.83E-2</v>
      </c>
      <c r="AD180" s="152">
        <v>1.5900000000000001E-2</v>
      </c>
      <c r="AE180" s="93" t="s">
        <v>31</v>
      </c>
      <c r="AF180" s="152">
        <v>1.83E-2</v>
      </c>
      <c r="AG180" s="93" t="s">
        <v>31</v>
      </c>
      <c r="AH180" s="93" t="s">
        <v>31</v>
      </c>
      <c r="AI180" s="93" t="s">
        <v>31</v>
      </c>
      <c r="AJ180" s="93" t="s">
        <v>31</v>
      </c>
      <c r="AK180" s="160">
        <v>0.02</v>
      </c>
      <c r="AL180" s="160">
        <v>0.02</v>
      </c>
      <c r="AM180" s="152">
        <v>1.7299999999999999E-2</v>
      </c>
      <c r="AN180" s="96">
        <v>1.9199999999999998E-2</v>
      </c>
      <c r="AO180" s="152">
        <v>1.9199999999999998E-2</v>
      </c>
      <c r="AP180" s="71" t="s">
        <v>31</v>
      </c>
      <c r="AQ180" s="152">
        <v>1.7299999999999999E-2</v>
      </c>
      <c r="AR180" s="71" t="s">
        <v>31</v>
      </c>
      <c r="AS180" s="71" t="s">
        <v>31</v>
      </c>
      <c r="AT180" s="71" t="s">
        <v>31</v>
      </c>
      <c r="AU180" s="152">
        <v>1.7299999999999999E-2</v>
      </c>
      <c r="AV180" s="152">
        <v>1.9199999999999998E-2</v>
      </c>
      <c r="AW180" s="71" t="s">
        <v>31</v>
      </c>
      <c r="AX180" s="152">
        <v>1.7299999999999999E-2</v>
      </c>
      <c r="AY180" s="71" t="s">
        <v>31</v>
      </c>
      <c r="AZ180" s="71" t="s">
        <v>31</v>
      </c>
      <c r="BA180" s="71" t="s">
        <v>31</v>
      </c>
    </row>
    <row r="181" spans="1:53" x14ac:dyDescent="0.2">
      <c r="A181" s="71">
        <v>16</v>
      </c>
      <c r="B181" s="93" t="s">
        <v>31</v>
      </c>
      <c r="C181" s="93" t="s">
        <v>31</v>
      </c>
      <c r="D181" s="93" t="s">
        <v>31</v>
      </c>
      <c r="E181" s="93" t="s">
        <v>31</v>
      </c>
      <c r="F181" s="150">
        <v>1.2E-2</v>
      </c>
      <c r="G181" s="150">
        <v>1.7000000000000001E-2</v>
      </c>
      <c r="H181" s="150">
        <v>1.2E-2</v>
      </c>
      <c r="I181" s="150">
        <v>1.4999999999999999E-2</v>
      </c>
      <c r="J181" s="150">
        <v>0.02</v>
      </c>
      <c r="K181" s="150">
        <v>2.1000000000000001E-2</v>
      </c>
      <c r="L181" s="157">
        <v>1.6899999999999998E-2</v>
      </c>
      <c r="M181" s="150">
        <v>1.7000000000000001E-2</v>
      </c>
      <c r="N181" s="93" t="s">
        <v>31</v>
      </c>
      <c r="O181" s="93" t="s">
        <v>31</v>
      </c>
      <c r="P181" s="93" t="s">
        <v>31</v>
      </c>
      <c r="Q181" s="93" t="s">
        <v>31</v>
      </c>
      <c r="R181" s="93">
        <v>2.5999999999999999E-2</v>
      </c>
      <c r="S181" s="93">
        <v>2.8000000000000001E-2</v>
      </c>
      <c r="T181" s="93">
        <v>0.02</v>
      </c>
      <c r="U181" s="93" t="s">
        <v>31</v>
      </c>
      <c r="V181" s="93" t="s">
        <v>31</v>
      </c>
      <c r="W181" s="93">
        <v>0.02</v>
      </c>
      <c r="X181" s="93" t="s">
        <v>31</v>
      </c>
      <c r="Y181" s="93">
        <v>0.02</v>
      </c>
      <c r="Z181" s="93" t="s">
        <v>31</v>
      </c>
      <c r="AA181" s="152">
        <v>1.5900000000000001E-2</v>
      </c>
      <c r="AB181" s="93" t="s">
        <v>31</v>
      </c>
      <c r="AC181" s="152">
        <v>1.83E-2</v>
      </c>
      <c r="AD181" s="152">
        <v>1.5900000000000001E-2</v>
      </c>
      <c r="AE181" s="93" t="s">
        <v>31</v>
      </c>
      <c r="AF181" s="152">
        <v>1.83E-2</v>
      </c>
      <c r="AG181" s="93" t="s">
        <v>31</v>
      </c>
      <c r="AH181" s="93" t="s">
        <v>31</v>
      </c>
      <c r="AI181" s="93" t="s">
        <v>31</v>
      </c>
      <c r="AJ181" s="93" t="s">
        <v>31</v>
      </c>
      <c r="AK181" s="160">
        <v>0.02</v>
      </c>
      <c r="AL181" s="160">
        <v>2.1000000000000001E-2</v>
      </c>
      <c r="AM181" s="152">
        <v>1.7299999999999999E-2</v>
      </c>
      <c r="AN181" s="96">
        <v>1.9199999999999998E-2</v>
      </c>
      <c r="AO181" s="152">
        <v>1.9199999999999998E-2</v>
      </c>
      <c r="AP181" s="71" t="s">
        <v>31</v>
      </c>
      <c r="AQ181" s="152">
        <v>1.7299999999999999E-2</v>
      </c>
      <c r="AR181" s="71" t="s">
        <v>31</v>
      </c>
      <c r="AS181" s="71" t="s">
        <v>31</v>
      </c>
      <c r="AT181" s="71" t="s">
        <v>31</v>
      </c>
      <c r="AU181" s="152">
        <v>1.7299999999999999E-2</v>
      </c>
      <c r="AV181" s="152">
        <v>1.9199999999999998E-2</v>
      </c>
      <c r="AW181" s="71" t="s">
        <v>31</v>
      </c>
      <c r="AX181" s="152">
        <v>1.7299999999999999E-2</v>
      </c>
      <c r="AY181" s="71" t="s">
        <v>31</v>
      </c>
      <c r="AZ181" s="71" t="s">
        <v>31</v>
      </c>
      <c r="BA181" s="71" t="s">
        <v>31</v>
      </c>
    </row>
    <row r="182" spans="1:53" x14ac:dyDescent="0.2">
      <c r="A182" s="71">
        <v>17</v>
      </c>
      <c r="B182" s="93" t="s">
        <v>31</v>
      </c>
      <c r="C182" s="93" t="s">
        <v>31</v>
      </c>
      <c r="D182" s="93" t="s">
        <v>31</v>
      </c>
      <c r="E182" s="93" t="s">
        <v>31</v>
      </c>
      <c r="F182" s="150">
        <v>1.2E-2</v>
      </c>
      <c r="G182" s="150">
        <v>1.7000000000000001E-2</v>
      </c>
      <c r="H182" s="150">
        <v>1.2E-2</v>
      </c>
      <c r="I182" s="150">
        <v>1.4999999999999999E-2</v>
      </c>
      <c r="J182" s="150">
        <v>0.02</v>
      </c>
      <c r="K182" s="150">
        <v>2.1000000000000001E-2</v>
      </c>
      <c r="L182" s="157">
        <v>1.6899999999999998E-2</v>
      </c>
      <c r="M182" s="150">
        <v>1.7000000000000001E-2</v>
      </c>
      <c r="N182" s="93" t="s">
        <v>31</v>
      </c>
      <c r="O182" s="93" t="s">
        <v>31</v>
      </c>
      <c r="P182" s="93" t="s">
        <v>31</v>
      </c>
      <c r="Q182" s="93" t="s">
        <v>31</v>
      </c>
      <c r="R182" s="93">
        <v>2.5999999999999999E-2</v>
      </c>
      <c r="S182" s="93">
        <v>2.8000000000000001E-2</v>
      </c>
      <c r="T182" s="93">
        <v>0.02</v>
      </c>
      <c r="U182" s="93" t="s">
        <v>31</v>
      </c>
      <c r="V182" s="93" t="s">
        <v>31</v>
      </c>
      <c r="W182" s="93">
        <v>0.02</v>
      </c>
      <c r="X182" s="93" t="s">
        <v>31</v>
      </c>
      <c r="Y182" s="93">
        <v>0.02</v>
      </c>
      <c r="Z182" s="93" t="s">
        <v>31</v>
      </c>
      <c r="AA182" s="152">
        <v>1.5900000000000001E-2</v>
      </c>
      <c r="AB182" s="93" t="s">
        <v>31</v>
      </c>
      <c r="AC182" s="152">
        <v>1.83E-2</v>
      </c>
      <c r="AD182" s="152">
        <v>1.5900000000000001E-2</v>
      </c>
      <c r="AE182" s="93" t="s">
        <v>31</v>
      </c>
      <c r="AF182" s="152">
        <v>1.83E-2</v>
      </c>
      <c r="AG182" s="93" t="s">
        <v>31</v>
      </c>
      <c r="AH182" s="93" t="s">
        <v>31</v>
      </c>
      <c r="AI182" s="93" t="s">
        <v>31</v>
      </c>
      <c r="AJ182" s="93" t="s">
        <v>31</v>
      </c>
      <c r="AK182" s="160">
        <v>0.02</v>
      </c>
      <c r="AL182" s="160">
        <v>2.1000000000000001E-2</v>
      </c>
      <c r="AM182" s="152">
        <v>1.7299999999999999E-2</v>
      </c>
      <c r="AN182" s="96">
        <v>1.9199999999999998E-2</v>
      </c>
      <c r="AO182" s="152">
        <v>1.9199999999999998E-2</v>
      </c>
      <c r="AP182" s="71" t="s">
        <v>31</v>
      </c>
      <c r="AQ182" s="152">
        <v>1.7299999999999999E-2</v>
      </c>
      <c r="AR182" s="71" t="s">
        <v>31</v>
      </c>
      <c r="AS182" s="71" t="s">
        <v>31</v>
      </c>
      <c r="AT182" s="71" t="s">
        <v>31</v>
      </c>
      <c r="AU182" s="152">
        <v>1.7299999999999999E-2</v>
      </c>
      <c r="AV182" s="152">
        <v>1.9199999999999998E-2</v>
      </c>
      <c r="AW182" s="71" t="s">
        <v>31</v>
      </c>
      <c r="AX182" s="152">
        <v>1.7299999999999999E-2</v>
      </c>
      <c r="AY182" s="71" t="s">
        <v>31</v>
      </c>
      <c r="AZ182" s="71" t="s">
        <v>31</v>
      </c>
      <c r="BA182" s="71" t="s">
        <v>31</v>
      </c>
    </row>
    <row r="183" spans="1:53" x14ac:dyDescent="0.2">
      <c r="A183" s="71">
        <v>18</v>
      </c>
      <c r="B183" s="93" t="s">
        <v>31</v>
      </c>
      <c r="C183" s="93" t="s">
        <v>31</v>
      </c>
      <c r="D183" s="93" t="s">
        <v>31</v>
      </c>
      <c r="E183" s="93" t="s">
        <v>31</v>
      </c>
      <c r="F183" s="150">
        <v>1.4999999999999999E-2</v>
      </c>
      <c r="G183" s="150">
        <v>1.9E-2</v>
      </c>
      <c r="H183" s="150">
        <v>1.4999999999999999E-2</v>
      </c>
      <c r="I183" s="150">
        <v>1.7000000000000001E-2</v>
      </c>
      <c r="J183" s="150">
        <v>2.1000000000000001E-2</v>
      </c>
      <c r="K183" s="150">
        <v>2.1999999999999999E-2</v>
      </c>
      <c r="L183" s="157">
        <v>2.23E-2</v>
      </c>
      <c r="M183" s="150">
        <v>1.7000000000000001E-2</v>
      </c>
      <c r="N183" s="93" t="s">
        <v>31</v>
      </c>
      <c r="O183" s="93" t="s">
        <v>31</v>
      </c>
      <c r="P183" s="93" t="s">
        <v>31</v>
      </c>
      <c r="Q183" s="93" t="s">
        <v>31</v>
      </c>
      <c r="R183" s="93">
        <v>2.5999999999999999E-2</v>
      </c>
      <c r="S183" s="153">
        <v>2.8000000000000001E-2</v>
      </c>
      <c r="T183" s="93">
        <v>0.02</v>
      </c>
      <c r="U183" s="93" t="s">
        <v>31</v>
      </c>
      <c r="V183" s="93" t="s">
        <v>31</v>
      </c>
      <c r="W183" s="93">
        <v>0.02</v>
      </c>
      <c r="X183" s="93" t="s">
        <v>31</v>
      </c>
      <c r="Y183" s="93">
        <v>0.02</v>
      </c>
      <c r="Z183" s="93" t="s">
        <v>31</v>
      </c>
      <c r="AA183" s="152">
        <v>1.5900000000000001E-2</v>
      </c>
      <c r="AB183" s="93" t="s">
        <v>31</v>
      </c>
      <c r="AC183" s="152">
        <v>2.6700000000000002E-2</v>
      </c>
      <c r="AD183" s="152">
        <v>1.5900000000000001E-2</v>
      </c>
      <c r="AE183" s="93" t="s">
        <v>31</v>
      </c>
      <c r="AF183" s="152">
        <v>2.6700000000000002E-2</v>
      </c>
      <c r="AG183" s="93" t="s">
        <v>31</v>
      </c>
      <c r="AH183" s="93" t="s">
        <v>31</v>
      </c>
      <c r="AI183" s="93" t="s">
        <v>31</v>
      </c>
      <c r="AJ183" s="93" t="s">
        <v>31</v>
      </c>
      <c r="AK183" s="160">
        <v>2.1000000000000001E-2</v>
      </c>
      <c r="AL183" s="160">
        <v>2.1999999999999999E-2</v>
      </c>
      <c r="AM183" s="152">
        <v>2.2599999999999999E-2</v>
      </c>
      <c r="AN183" s="96">
        <v>2.4299999999999999E-2</v>
      </c>
      <c r="AO183" s="152">
        <v>1.9199999999999998E-2</v>
      </c>
      <c r="AP183" s="71" t="s">
        <v>31</v>
      </c>
      <c r="AQ183" s="152">
        <v>1.7299999999999999E-2</v>
      </c>
      <c r="AR183" s="71" t="s">
        <v>31</v>
      </c>
      <c r="AS183" s="71" t="s">
        <v>31</v>
      </c>
      <c r="AT183" s="71" t="s">
        <v>31</v>
      </c>
      <c r="AU183" s="152">
        <v>2.2599999999999999E-2</v>
      </c>
      <c r="AV183" s="152">
        <v>1.9199999999999998E-2</v>
      </c>
      <c r="AW183" s="71" t="s">
        <v>31</v>
      </c>
      <c r="AX183" s="152">
        <v>1.7299999999999999E-2</v>
      </c>
      <c r="AY183" s="71" t="s">
        <v>31</v>
      </c>
      <c r="AZ183" s="71" t="s">
        <v>31</v>
      </c>
      <c r="BA183" s="71" t="s">
        <v>31</v>
      </c>
    </row>
    <row r="184" spans="1:53" x14ac:dyDescent="0.2">
      <c r="A184" s="71">
        <v>20</v>
      </c>
      <c r="B184" s="93" t="s">
        <v>31</v>
      </c>
      <c r="C184" s="93" t="s">
        <v>31</v>
      </c>
      <c r="D184" s="93" t="s">
        <v>31</v>
      </c>
      <c r="E184" s="93" t="s">
        <v>31</v>
      </c>
      <c r="F184" s="93" t="s">
        <v>31</v>
      </c>
      <c r="G184" s="93" t="s">
        <v>31</v>
      </c>
      <c r="H184" s="93" t="s">
        <v>31</v>
      </c>
      <c r="I184" s="93" t="s">
        <v>31</v>
      </c>
      <c r="J184" s="150">
        <v>2.1000000000000001E-2</v>
      </c>
      <c r="K184" s="150">
        <v>2.7E-2</v>
      </c>
      <c r="L184" s="157">
        <v>2.23E-2</v>
      </c>
      <c r="M184" s="150">
        <v>1.7000000000000001E-2</v>
      </c>
      <c r="N184" s="93" t="s">
        <v>31</v>
      </c>
      <c r="O184" s="93" t="s">
        <v>31</v>
      </c>
      <c r="P184" s="93" t="s">
        <v>31</v>
      </c>
      <c r="Q184" s="93" t="s">
        <v>31</v>
      </c>
      <c r="R184" s="93" t="s">
        <v>31</v>
      </c>
      <c r="S184" s="93">
        <v>0.03</v>
      </c>
      <c r="T184" s="93" t="s">
        <v>31</v>
      </c>
      <c r="U184" s="93" t="s">
        <v>31</v>
      </c>
      <c r="V184" s="93" t="s">
        <v>31</v>
      </c>
      <c r="W184" s="93" t="s">
        <v>31</v>
      </c>
      <c r="X184" s="93" t="s">
        <v>31</v>
      </c>
      <c r="Y184" s="93" t="s">
        <v>31</v>
      </c>
      <c r="Z184" s="93" t="s">
        <v>31</v>
      </c>
      <c r="AA184" s="93" t="s">
        <v>31</v>
      </c>
      <c r="AB184" s="93" t="s">
        <v>31</v>
      </c>
      <c r="AC184" s="152">
        <v>2.6700000000000002E-2</v>
      </c>
      <c r="AD184" s="93" t="s">
        <v>31</v>
      </c>
      <c r="AE184" s="93" t="s">
        <v>31</v>
      </c>
      <c r="AF184" s="152">
        <v>2.6700000000000002E-2</v>
      </c>
      <c r="AG184" s="93" t="s">
        <v>31</v>
      </c>
      <c r="AH184" s="93" t="s">
        <v>31</v>
      </c>
      <c r="AI184" s="93" t="s">
        <v>31</v>
      </c>
      <c r="AJ184" s="93" t="s">
        <v>31</v>
      </c>
      <c r="AK184" s="160">
        <v>2.1000000000000001E-2</v>
      </c>
      <c r="AL184" s="160">
        <v>2.7E-2</v>
      </c>
      <c r="AM184" s="152">
        <v>2.2599999999999999E-2</v>
      </c>
      <c r="AN184" s="96">
        <v>2.4299999999999999E-2</v>
      </c>
      <c r="AO184" s="71" t="s">
        <v>31</v>
      </c>
      <c r="AP184" s="71" t="s">
        <v>31</v>
      </c>
      <c r="AQ184" s="71" t="s">
        <v>31</v>
      </c>
      <c r="AR184" s="71" t="s">
        <v>31</v>
      </c>
      <c r="AS184" s="71" t="s">
        <v>31</v>
      </c>
      <c r="AT184" s="71" t="s">
        <v>31</v>
      </c>
      <c r="AU184" s="152">
        <v>2.2599999999999999E-2</v>
      </c>
      <c r="AV184" s="71" t="s">
        <v>31</v>
      </c>
      <c r="AW184" s="71" t="s">
        <v>31</v>
      </c>
      <c r="AX184" s="71" t="s">
        <v>31</v>
      </c>
      <c r="AY184" s="71" t="s">
        <v>31</v>
      </c>
      <c r="AZ184" s="71" t="s">
        <v>31</v>
      </c>
      <c r="BA184" s="71" t="s">
        <v>31</v>
      </c>
    </row>
    <row r="185" spans="1:53" x14ac:dyDescent="0.2">
      <c r="A185" s="71">
        <v>22</v>
      </c>
      <c r="B185" s="93" t="s">
        <v>31</v>
      </c>
      <c r="C185" s="93" t="s">
        <v>31</v>
      </c>
      <c r="D185" s="93" t="s">
        <v>31</v>
      </c>
      <c r="E185" s="93" t="s">
        <v>31</v>
      </c>
      <c r="F185" s="93" t="s">
        <v>31</v>
      </c>
      <c r="G185" s="93" t="s">
        <v>31</v>
      </c>
      <c r="H185" s="93" t="s">
        <v>31</v>
      </c>
      <c r="I185" s="93" t="s">
        <v>31</v>
      </c>
      <c r="J185" s="150">
        <v>2.5999999999999999E-2</v>
      </c>
      <c r="K185" s="150">
        <v>2.7E-2</v>
      </c>
      <c r="L185" s="157">
        <v>2.23E-2</v>
      </c>
      <c r="M185" s="150">
        <v>1.9E-2</v>
      </c>
      <c r="N185" s="93" t="s">
        <v>31</v>
      </c>
      <c r="O185" s="93" t="s">
        <v>31</v>
      </c>
      <c r="P185" s="93" t="s">
        <v>31</v>
      </c>
      <c r="Q185" s="93" t="s">
        <v>31</v>
      </c>
      <c r="R185" s="93" t="s">
        <v>31</v>
      </c>
      <c r="S185" s="93">
        <v>0.03</v>
      </c>
      <c r="T185" s="93" t="s">
        <v>31</v>
      </c>
      <c r="U185" s="93" t="s">
        <v>31</v>
      </c>
      <c r="V185" s="93" t="s">
        <v>31</v>
      </c>
      <c r="W185" s="93" t="s">
        <v>31</v>
      </c>
      <c r="X185" s="93" t="s">
        <v>31</v>
      </c>
      <c r="Y185" s="93" t="s">
        <v>31</v>
      </c>
      <c r="Z185" s="93" t="s">
        <v>31</v>
      </c>
      <c r="AA185" s="93" t="s">
        <v>31</v>
      </c>
      <c r="AB185" s="93" t="s">
        <v>31</v>
      </c>
      <c r="AC185" s="152">
        <v>2.6700000000000002E-2</v>
      </c>
      <c r="AD185" s="93" t="s">
        <v>31</v>
      </c>
      <c r="AE185" s="93" t="s">
        <v>31</v>
      </c>
      <c r="AF185" s="152">
        <v>2.6700000000000002E-2</v>
      </c>
      <c r="AG185" s="93" t="s">
        <v>31</v>
      </c>
      <c r="AH185" s="93" t="s">
        <v>31</v>
      </c>
      <c r="AI185" s="93" t="s">
        <v>31</v>
      </c>
      <c r="AJ185" s="93" t="s">
        <v>31</v>
      </c>
      <c r="AK185" s="160">
        <v>2.5999999999999999E-2</v>
      </c>
      <c r="AL185" s="160">
        <v>2.7E-2</v>
      </c>
      <c r="AM185" s="152">
        <v>2.2599999999999999E-2</v>
      </c>
      <c r="AN185" s="96">
        <v>2.4299999999999999E-2</v>
      </c>
      <c r="AO185" s="71" t="s">
        <v>31</v>
      </c>
      <c r="AP185" s="71" t="s">
        <v>31</v>
      </c>
      <c r="AQ185" s="71" t="s">
        <v>31</v>
      </c>
      <c r="AR185" s="71" t="s">
        <v>31</v>
      </c>
      <c r="AS185" s="71" t="s">
        <v>31</v>
      </c>
      <c r="AT185" s="71" t="s">
        <v>31</v>
      </c>
      <c r="AU185" s="152">
        <v>2.2599999999999999E-2</v>
      </c>
      <c r="AV185" s="71" t="s">
        <v>31</v>
      </c>
      <c r="AW185" s="71" t="s">
        <v>31</v>
      </c>
      <c r="AX185" s="71" t="s">
        <v>31</v>
      </c>
      <c r="AY185" s="71" t="s">
        <v>31</v>
      </c>
      <c r="AZ185" s="71" t="s">
        <v>31</v>
      </c>
      <c r="BA185" s="71" t="s">
        <v>31</v>
      </c>
    </row>
    <row r="186" spans="1:53" x14ac:dyDescent="0.2">
      <c r="A186" s="71">
        <v>24</v>
      </c>
      <c r="B186" s="93" t="s">
        <v>31</v>
      </c>
      <c r="C186" s="93" t="s">
        <v>31</v>
      </c>
      <c r="D186" s="93" t="s">
        <v>31</v>
      </c>
      <c r="E186" s="93" t="s">
        <v>31</v>
      </c>
      <c r="F186" s="93" t="s">
        <v>31</v>
      </c>
      <c r="G186" s="93" t="s">
        <v>31</v>
      </c>
      <c r="H186" s="93" t="s">
        <v>31</v>
      </c>
      <c r="I186" s="93" t="s">
        <v>31</v>
      </c>
      <c r="J186" s="150">
        <v>2.5999999999999999E-2</v>
      </c>
      <c r="K186" s="150">
        <v>2.7E-2</v>
      </c>
      <c r="L186" s="157">
        <v>2.23E-2</v>
      </c>
      <c r="M186" s="150">
        <v>1.9E-2</v>
      </c>
      <c r="N186" s="93" t="s">
        <v>31</v>
      </c>
      <c r="O186" s="93" t="s">
        <v>31</v>
      </c>
      <c r="P186" s="93" t="s">
        <v>31</v>
      </c>
      <c r="Q186" s="93" t="s">
        <v>31</v>
      </c>
      <c r="R186" s="93" t="s">
        <v>31</v>
      </c>
      <c r="S186" s="93">
        <v>0.03</v>
      </c>
      <c r="T186" s="93" t="s">
        <v>31</v>
      </c>
      <c r="U186" s="93" t="s">
        <v>31</v>
      </c>
      <c r="V186" s="93" t="s">
        <v>31</v>
      </c>
      <c r="W186" s="93" t="s">
        <v>31</v>
      </c>
      <c r="X186" s="93" t="s">
        <v>31</v>
      </c>
      <c r="Y186" s="93" t="s">
        <v>31</v>
      </c>
      <c r="Z186" s="93" t="s">
        <v>31</v>
      </c>
      <c r="AA186" s="93" t="s">
        <v>31</v>
      </c>
      <c r="AB186" s="93" t="s">
        <v>31</v>
      </c>
      <c r="AC186" s="152">
        <v>2.6700000000000002E-2</v>
      </c>
      <c r="AD186" s="93" t="s">
        <v>31</v>
      </c>
      <c r="AE186" s="93" t="s">
        <v>31</v>
      </c>
      <c r="AF186" s="152">
        <v>2.6700000000000002E-2</v>
      </c>
      <c r="AG186" s="93" t="s">
        <v>31</v>
      </c>
      <c r="AH186" s="93" t="s">
        <v>31</v>
      </c>
      <c r="AI186" s="93" t="s">
        <v>31</v>
      </c>
      <c r="AJ186" s="93" t="s">
        <v>31</v>
      </c>
      <c r="AK186" s="160">
        <v>2.5999999999999999E-2</v>
      </c>
      <c r="AL186" s="160">
        <v>2.7E-2</v>
      </c>
      <c r="AM186" s="152">
        <v>2.2599999999999999E-2</v>
      </c>
      <c r="AN186" s="96">
        <v>2.4299999999999999E-2</v>
      </c>
      <c r="AO186" s="71" t="s">
        <v>31</v>
      </c>
      <c r="AP186" s="71" t="s">
        <v>31</v>
      </c>
      <c r="AQ186" s="71" t="s">
        <v>31</v>
      </c>
      <c r="AR186" s="71" t="s">
        <v>31</v>
      </c>
      <c r="AS186" s="71" t="s">
        <v>31</v>
      </c>
      <c r="AT186" s="71" t="s">
        <v>31</v>
      </c>
      <c r="AU186" s="152">
        <v>2.2599999999999999E-2</v>
      </c>
      <c r="AV186" s="71" t="s">
        <v>31</v>
      </c>
      <c r="AW186" s="71" t="s">
        <v>31</v>
      </c>
      <c r="AX186" s="71" t="s">
        <v>31</v>
      </c>
      <c r="AY186" s="71" t="s">
        <v>31</v>
      </c>
      <c r="AZ186" s="71" t="s">
        <v>31</v>
      </c>
      <c r="BA186" s="71" t="s">
        <v>31</v>
      </c>
    </row>
    <row r="187" spans="1:53" x14ac:dyDescent="0.2">
      <c r="A187" s="71">
        <v>26</v>
      </c>
      <c r="B187" s="93" t="s">
        <v>31</v>
      </c>
      <c r="C187" s="93" t="s">
        <v>31</v>
      </c>
      <c r="D187" s="93" t="s">
        <v>31</v>
      </c>
      <c r="E187" s="93" t="s">
        <v>31</v>
      </c>
      <c r="F187" s="93" t="s">
        <v>31</v>
      </c>
      <c r="G187" s="93" t="s">
        <v>31</v>
      </c>
      <c r="H187" s="93" t="s">
        <v>31</v>
      </c>
      <c r="I187" s="93" t="s">
        <v>31</v>
      </c>
      <c r="J187" s="150">
        <v>2.5999999999999999E-2</v>
      </c>
      <c r="K187" s="150">
        <v>2.7E-2</v>
      </c>
      <c r="L187" s="157">
        <v>2.23E-2</v>
      </c>
      <c r="M187" s="150">
        <v>1.9E-2</v>
      </c>
      <c r="N187" s="93" t="s">
        <v>31</v>
      </c>
      <c r="O187" s="93" t="s">
        <v>31</v>
      </c>
      <c r="P187" s="93" t="s">
        <v>31</v>
      </c>
      <c r="Q187" s="93" t="s">
        <v>31</v>
      </c>
      <c r="R187" s="93" t="s">
        <v>31</v>
      </c>
      <c r="S187" s="93">
        <v>0.03</v>
      </c>
      <c r="T187" s="93" t="s">
        <v>31</v>
      </c>
      <c r="U187" s="93" t="s">
        <v>31</v>
      </c>
      <c r="V187" s="93" t="s">
        <v>31</v>
      </c>
      <c r="W187" s="93" t="s">
        <v>31</v>
      </c>
      <c r="X187" s="93" t="s">
        <v>31</v>
      </c>
      <c r="Y187" s="93" t="s">
        <v>31</v>
      </c>
      <c r="Z187" s="93" t="s">
        <v>31</v>
      </c>
      <c r="AA187" s="93" t="s">
        <v>31</v>
      </c>
      <c r="AB187" s="93" t="s">
        <v>31</v>
      </c>
      <c r="AC187" s="152">
        <v>2.6700000000000002E-2</v>
      </c>
      <c r="AD187" s="93" t="s">
        <v>31</v>
      </c>
      <c r="AE187" s="93" t="s">
        <v>31</v>
      </c>
      <c r="AF187" s="152">
        <v>2.6700000000000002E-2</v>
      </c>
      <c r="AG187" s="93" t="s">
        <v>31</v>
      </c>
      <c r="AH187" s="93" t="s">
        <v>31</v>
      </c>
      <c r="AI187" s="93" t="s">
        <v>31</v>
      </c>
      <c r="AJ187" s="93" t="s">
        <v>31</v>
      </c>
      <c r="AK187" s="160">
        <v>2.5999999999999999E-2</v>
      </c>
      <c r="AL187" s="160">
        <v>2.7E-2</v>
      </c>
      <c r="AM187" s="152">
        <v>2.2599999999999999E-2</v>
      </c>
      <c r="AN187" s="96">
        <v>2.4299999999999999E-2</v>
      </c>
      <c r="AO187" s="71" t="s">
        <v>31</v>
      </c>
      <c r="AP187" s="71" t="s">
        <v>31</v>
      </c>
      <c r="AQ187" s="71" t="s">
        <v>31</v>
      </c>
      <c r="AR187" s="71" t="s">
        <v>31</v>
      </c>
      <c r="AS187" s="71" t="s">
        <v>31</v>
      </c>
      <c r="AT187" s="71" t="s">
        <v>31</v>
      </c>
      <c r="AU187" s="152">
        <v>2.2599999999999999E-2</v>
      </c>
      <c r="AV187" s="71" t="s">
        <v>31</v>
      </c>
      <c r="AW187" s="71" t="s">
        <v>31</v>
      </c>
      <c r="AX187" s="71" t="s">
        <v>31</v>
      </c>
      <c r="AY187" s="71" t="s">
        <v>31</v>
      </c>
      <c r="AZ187" s="71" t="s">
        <v>31</v>
      </c>
      <c r="BA187" s="71" t="s">
        <v>31</v>
      </c>
    </row>
    <row r="188" spans="1:53" x14ac:dyDescent="0.2">
      <c r="A188" s="71">
        <v>26.5</v>
      </c>
      <c r="B188" s="93" t="s">
        <v>31</v>
      </c>
      <c r="C188" s="93" t="s">
        <v>31</v>
      </c>
      <c r="D188" s="93" t="s">
        <v>31</v>
      </c>
      <c r="E188" s="93" t="s">
        <v>31</v>
      </c>
      <c r="F188" s="93" t="s">
        <v>31</v>
      </c>
      <c r="G188" s="93" t="s">
        <v>31</v>
      </c>
      <c r="H188" s="93" t="s">
        <v>31</v>
      </c>
      <c r="I188" s="93" t="s">
        <v>31</v>
      </c>
      <c r="J188" s="150">
        <v>2.8000000000000001E-2</v>
      </c>
      <c r="K188" s="150">
        <v>2.8000000000000001E-2</v>
      </c>
      <c r="L188" s="157">
        <v>2.58E-2</v>
      </c>
      <c r="M188" s="150">
        <v>2.1999999999999999E-2</v>
      </c>
      <c r="N188" s="93">
        <v>2.1999999999999999E-2</v>
      </c>
      <c r="O188" s="93" t="s">
        <v>31</v>
      </c>
      <c r="P188" s="93">
        <v>0.03</v>
      </c>
      <c r="Q188" s="93" t="s">
        <v>31</v>
      </c>
      <c r="R188" s="93" t="s">
        <v>31</v>
      </c>
      <c r="S188" s="93">
        <v>0.03</v>
      </c>
      <c r="T188" s="93" t="s">
        <v>31</v>
      </c>
      <c r="U188" s="93" t="s">
        <v>31</v>
      </c>
      <c r="V188" s="93" t="s">
        <v>31</v>
      </c>
      <c r="W188" s="93" t="s">
        <v>31</v>
      </c>
      <c r="X188" s="93" t="s">
        <v>31</v>
      </c>
      <c r="Y188" s="93" t="s">
        <v>31</v>
      </c>
      <c r="Z188" s="93" t="s">
        <v>31</v>
      </c>
      <c r="AA188" s="93" t="s">
        <v>31</v>
      </c>
      <c r="AB188" s="93" t="s">
        <v>31</v>
      </c>
      <c r="AC188" s="152">
        <v>3.32E-2</v>
      </c>
      <c r="AD188" s="93" t="s">
        <v>31</v>
      </c>
      <c r="AE188" s="93" t="s">
        <v>31</v>
      </c>
      <c r="AF188" s="152">
        <v>3.32E-2</v>
      </c>
      <c r="AG188" s="93" t="s">
        <v>31</v>
      </c>
      <c r="AH188" s="93" t="s">
        <v>31</v>
      </c>
      <c r="AI188" s="93" t="s">
        <v>31</v>
      </c>
      <c r="AJ188" s="93" t="s">
        <v>31</v>
      </c>
      <c r="AK188" s="160">
        <v>2.8000000000000001E-2</v>
      </c>
      <c r="AL188" s="160">
        <v>2.8000000000000001E-2</v>
      </c>
      <c r="AM188" s="152">
        <v>2.58E-2</v>
      </c>
      <c r="AN188" s="96">
        <v>4.5600000000000002E-2</v>
      </c>
      <c r="AO188" s="71" t="s">
        <v>31</v>
      </c>
      <c r="AP188" s="71" t="s">
        <v>31</v>
      </c>
      <c r="AQ188" s="71" t="s">
        <v>31</v>
      </c>
      <c r="AR188" s="71" t="s">
        <v>31</v>
      </c>
      <c r="AS188" s="152">
        <v>2.63E-2</v>
      </c>
      <c r="AT188" s="71" t="s">
        <v>31</v>
      </c>
      <c r="AU188" s="152">
        <v>2.58E-2</v>
      </c>
      <c r="AV188" s="71" t="s">
        <v>31</v>
      </c>
      <c r="AW188" s="71" t="s">
        <v>31</v>
      </c>
      <c r="AX188" s="71" t="s">
        <v>31</v>
      </c>
      <c r="AY188" s="71" t="s">
        <v>31</v>
      </c>
      <c r="AZ188" s="152">
        <v>2.63E-2</v>
      </c>
      <c r="BA188" s="71" t="s">
        <v>31</v>
      </c>
    </row>
    <row r="189" spans="1:53" x14ac:dyDescent="0.2">
      <c r="A189" s="71">
        <v>28</v>
      </c>
      <c r="B189" s="93" t="s">
        <v>31</v>
      </c>
      <c r="C189" s="93" t="s">
        <v>31</v>
      </c>
      <c r="D189" s="93" t="s">
        <v>31</v>
      </c>
      <c r="E189" s="93" t="s">
        <v>31</v>
      </c>
      <c r="F189" s="93" t="s">
        <v>31</v>
      </c>
      <c r="G189" s="93" t="s">
        <v>31</v>
      </c>
      <c r="H189" s="93" t="s">
        <v>31</v>
      </c>
      <c r="I189" s="93" t="s">
        <v>31</v>
      </c>
      <c r="J189" s="150">
        <v>3.1E-2</v>
      </c>
      <c r="K189" s="150">
        <v>2.8999999999999998E-2</v>
      </c>
      <c r="L189" s="157">
        <v>2.58E-2</v>
      </c>
      <c r="M189" s="150">
        <v>2.3E-2</v>
      </c>
      <c r="N189" s="93">
        <v>2.4E-2</v>
      </c>
      <c r="O189" s="93" t="s">
        <v>31</v>
      </c>
      <c r="P189" s="93">
        <v>3.2000000000000001E-2</v>
      </c>
      <c r="Q189" s="93" t="s">
        <v>31</v>
      </c>
      <c r="R189" s="93" t="s">
        <v>31</v>
      </c>
      <c r="S189" s="93">
        <v>0.03</v>
      </c>
      <c r="T189" s="93" t="s">
        <v>31</v>
      </c>
      <c r="U189" s="93" t="s">
        <v>31</v>
      </c>
      <c r="V189" s="93" t="s">
        <v>31</v>
      </c>
      <c r="W189" s="93" t="s">
        <v>31</v>
      </c>
      <c r="X189" s="93" t="s">
        <v>31</v>
      </c>
      <c r="Y189" s="93" t="s">
        <v>31</v>
      </c>
      <c r="Z189" s="93" t="s">
        <v>31</v>
      </c>
      <c r="AA189" s="93" t="s">
        <v>31</v>
      </c>
      <c r="AB189" s="93" t="s">
        <v>31</v>
      </c>
      <c r="AC189" s="152">
        <v>3.32E-2</v>
      </c>
      <c r="AD189" s="93" t="s">
        <v>31</v>
      </c>
      <c r="AE189" s="93" t="s">
        <v>31</v>
      </c>
      <c r="AF189" s="152">
        <v>3.32E-2</v>
      </c>
      <c r="AG189" s="93" t="s">
        <v>31</v>
      </c>
      <c r="AH189" s="93" t="s">
        <v>31</v>
      </c>
      <c r="AI189" s="93" t="s">
        <v>31</v>
      </c>
      <c r="AJ189" s="93" t="s">
        <v>31</v>
      </c>
      <c r="AK189" s="160">
        <v>3.1E-2</v>
      </c>
      <c r="AL189" s="160">
        <v>2.8999999999999998E-2</v>
      </c>
      <c r="AM189" s="152">
        <v>2.58E-2</v>
      </c>
      <c r="AN189" s="96">
        <v>4.5600000000000002E-2</v>
      </c>
      <c r="AO189" s="71" t="s">
        <v>31</v>
      </c>
      <c r="AP189" s="71" t="s">
        <v>31</v>
      </c>
      <c r="AQ189" s="71" t="s">
        <v>31</v>
      </c>
      <c r="AR189" s="71" t="s">
        <v>31</v>
      </c>
      <c r="AS189" s="152">
        <v>2.63E-2</v>
      </c>
      <c r="AT189" s="71" t="s">
        <v>31</v>
      </c>
      <c r="AU189" s="152">
        <v>2.58E-2</v>
      </c>
      <c r="AV189" s="71" t="s">
        <v>31</v>
      </c>
      <c r="AW189" s="71" t="s">
        <v>31</v>
      </c>
      <c r="AX189" s="71" t="s">
        <v>31</v>
      </c>
      <c r="AY189" s="71" t="s">
        <v>31</v>
      </c>
      <c r="AZ189" s="152">
        <v>2.63E-2</v>
      </c>
      <c r="BA189" s="71" t="s">
        <v>31</v>
      </c>
    </row>
    <row r="190" spans="1:53" x14ac:dyDescent="0.2">
      <c r="A190" s="71">
        <v>30</v>
      </c>
      <c r="B190" s="93" t="s">
        <v>31</v>
      </c>
      <c r="C190" s="93" t="s">
        <v>31</v>
      </c>
      <c r="D190" s="93" t="s">
        <v>31</v>
      </c>
      <c r="E190" s="93" t="s">
        <v>31</v>
      </c>
      <c r="F190" s="93" t="s">
        <v>31</v>
      </c>
      <c r="G190" s="93" t="s">
        <v>31</v>
      </c>
      <c r="H190" s="93" t="s">
        <v>31</v>
      </c>
      <c r="I190" s="93" t="s">
        <v>31</v>
      </c>
      <c r="J190" s="150">
        <v>3.2000000000000001E-2</v>
      </c>
      <c r="K190" s="150">
        <v>3.2000000000000001E-2</v>
      </c>
      <c r="L190" s="157">
        <v>2.58E-2</v>
      </c>
      <c r="M190" s="150">
        <v>2.4E-2</v>
      </c>
      <c r="N190" s="93">
        <v>2.5000000000000001E-2</v>
      </c>
      <c r="O190" s="93" t="s">
        <v>31</v>
      </c>
      <c r="P190" s="93">
        <v>0.03</v>
      </c>
      <c r="Q190" s="93" t="s">
        <v>31</v>
      </c>
      <c r="R190" s="93" t="s">
        <v>31</v>
      </c>
      <c r="S190" s="93" t="s">
        <v>31</v>
      </c>
      <c r="T190" s="93" t="s">
        <v>31</v>
      </c>
      <c r="U190" s="93" t="s">
        <v>31</v>
      </c>
      <c r="V190" s="93" t="s">
        <v>31</v>
      </c>
      <c r="W190" s="93" t="s">
        <v>31</v>
      </c>
      <c r="X190" s="93" t="s">
        <v>31</v>
      </c>
      <c r="Y190" s="93" t="s">
        <v>31</v>
      </c>
      <c r="Z190" s="93" t="s">
        <v>31</v>
      </c>
      <c r="AA190" s="93" t="s">
        <v>31</v>
      </c>
      <c r="AB190" s="93" t="s">
        <v>31</v>
      </c>
      <c r="AC190" s="152">
        <v>3.32E-2</v>
      </c>
      <c r="AD190" s="93" t="s">
        <v>31</v>
      </c>
      <c r="AE190" s="93" t="s">
        <v>31</v>
      </c>
      <c r="AF190" s="152">
        <v>3.32E-2</v>
      </c>
      <c r="AG190" s="93" t="s">
        <v>31</v>
      </c>
      <c r="AH190" s="93" t="s">
        <v>31</v>
      </c>
      <c r="AI190" s="93" t="s">
        <v>31</v>
      </c>
      <c r="AJ190" s="93" t="s">
        <v>31</v>
      </c>
      <c r="AK190" s="160">
        <v>3.2000000000000001E-2</v>
      </c>
      <c r="AL190" s="160">
        <v>3.2000000000000001E-2</v>
      </c>
      <c r="AM190" s="152">
        <v>2.58E-2</v>
      </c>
      <c r="AN190" s="96">
        <v>4.5600000000000002E-2</v>
      </c>
      <c r="AO190" s="71" t="s">
        <v>31</v>
      </c>
      <c r="AP190" s="71" t="s">
        <v>31</v>
      </c>
      <c r="AQ190" s="71" t="s">
        <v>31</v>
      </c>
      <c r="AR190" s="71" t="s">
        <v>31</v>
      </c>
      <c r="AS190" s="152">
        <v>2.63E-2</v>
      </c>
      <c r="AT190" s="71" t="s">
        <v>31</v>
      </c>
      <c r="AU190" s="152">
        <v>2.58E-2</v>
      </c>
      <c r="AV190" s="71" t="s">
        <v>31</v>
      </c>
      <c r="AW190" s="71" t="s">
        <v>31</v>
      </c>
      <c r="AX190" s="71" t="s">
        <v>31</v>
      </c>
      <c r="AY190" s="71" t="s">
        <v>31</v>
      </c>
      <c r="AZ190" s="152">
        <v>2.63E-2</v>
      </c>
      <c r="BA190" s="71" t="s">
        <v>31</v>
      </c>
    </row>
    <row r="191" spans="1:53" x14ac:dyDescent="0.2">
      <c r="A191" s="71">
        <v>33</v>
      </c>
      <c r="B191" s="93" t="s">
        <v>31</v>
      </c>
      <c r="C191" s="93" t="s">
        <v>31</v>
      </c>
      <c r="D191" s="93" t="s">
        <v>31</v>
      </c>
      <c r="E191" s="93" t="s">
        <v>31</v>
      </c>
      <c r="F191" s="93" t="s">
        <v>31</v>
      </c>
      <c r="G191" s="93" t="s">
        <v>31</v>
      </c>
      <c r="H191" s="93" t="s">
        <v>31</v>
      </c>
      <c r="I191" s="93" t="s">
        <v>31</v>
      </c>
      <c r="J191" s="150">
        <v>3.6999999999999998E-2</v>
      </c>
      <c r="K191" s="150">
        <v>3.3000000000000002E-2</v>
      </c>
      <c r="L191" s="157">
        <v>2.7300000000000001E-2</v>
      </c>
      <c r="M191" s="150">
        <v>2.5999999999999999E-2</v>
      </c>
      <c r="N191" s="93">
        <v>2.1000000000000001E-2</v>
      </c>
      <c r="O191" s="93">
        <v>2.8000000000000001E-2</v>
      </c>
      <c r="P191" s="93">
        <v>0.03</v>
      </c>
      <c r="Q191" s="93">
        <v>4.2000000000000003E-2</v>
      </c>
      <c r="R191" s="93" t="s">
        <v>31</v>
      </c>
      <c r="S191" s="93" t="s">
        <v>31</v>
      </c>
      <c r="T191" s="93" t="s">
        <v>31</v>
      </c>
      <c r="U191" s="93" t="s">
        <v>31</v>
      </c>
      <c r="V191" s="93" t="s">
        <v>31</v>
      </c>
      <c r="W191" s="93" t="s">
        <v>31</v>
      </c>
      <c r="X191" s="93" t="s">
        <v>31</v>
      </c>
      <c r="Y191" s="93" t="s">
        <v>31</v>
      </c>
      <c r="Z191" s="93" t="s">
        <v>31</v>
      </c>
      <c r="AA191" s="93" t="s">
        <v>31</v>
      </c>
      <c r="AB191" s="93" t="s">
        <v>31</v>
      </c>
      <c r="AC191" s="152">
        <v>3.32E-2</v>
      </c>
      <c r="AD191" s="93" t="s">
        <v>31</v>
      </c>
      <c r="AE191" s="93" t="s">
        <v>31</v>
      </c>
      <c r="AF191" s="152">
        <v>3.32E-2</v>
      </c>
      <c r="AG191" s="93" t="s">
        <v>31</v>
      </c>
      <c r="AH191" s="93" t="s">
        <v>31</v>
      </c>
      <c r="AI191" s="93" t="s">
        <v>31</v>
      </c>
      <c r="AJ191" s="93" t="s">
        <v>31</v>
      </c>
      <c r="AK191" s="160">
        <v>3.6999999999999998E-2</v>
      </c>
      <c r="AL191" s="160">
        <v>3.3000000000000002E-2</v>
      </c>
      <c r="AM191" s="152">
        <v>2.8000000000000001E-2</v>
      </c>
      <c r="AN191" s="96">
        <v>4.5600000000000002E-2</v>
      </c>
      <c r="AO191" s="71" t="s">
        <v>31</v>
      </c>
      <c r="AP191" s="71" t="s">
        <v>31</v>
      </c>
      <c r="AQ191" s="71" t="s">
        <v>31</v>
      </c>
      <c r="AR191" s="71" t="s">
        <v>31</v>
      </c>
      <c r="AS191" s="152">
        <v>3.15E-2</v>
      </c>
      <c r="AT191" s="152">
        <v>3.2199999999999999E-2</v>
      </c>
      <c r="AU191" s="152">
        <v>2.8000000000000001E-2</v>
      </c>
      <c r="AV191" s="71" t="s">
        <v>31</v>
      </c>
      <c r="AW191" s="71" t="s">
        <v>31</v>
      </c>
      <c r="AX191" s="71" t="s">
        <v>31</v>
      </c>
      <c r="AY191" s="71" t="s">
        <v>31</v>
      </c>
      <c r="AZ191" s="152">
        <v>3.15E-2</v>
      </c>
      <c r="BA191" s="152">
        <v>3.2199999999999999E-2</v>
      </c>
    </row>
    <row r="192" spans="1:53" x14ac:dyDescent="0.2">
      <c r="A192" s="71">
        <v>34</v>
      </c>
      <c r="B192" s="93" t="s">
        <v>31</v>
      </c>
      <c r="C192" s="93" t="s">
        <v>31</v>
      </c>
      <c r="D192" s="93" t="s">
        <v>31</v>
      </c>
      <c r="E192" s="93" t="s">
        <v>31</v>
      </c>
      <c r="F192" s="93" t="s">
        <v>31</v>
      </c>
      <c r="G192" s="93" t="s">
        <v>31</v>
      </c>
      <c r="H192" s="93" t="s">
        <v>31</v>
      </c>
      <c r="I192" s="93" t="s">
        <v>31</v>
      </c>
      <c r="J192" s="93" t="s">
        <v>31</v>
      </c>
      <c r="K192" s="93" t="s">
        <v>31</v>
      </c>
      <c r="L192" s="157">
        <v>2.7300000000000001E-2</v>
      </c>
      <c r="M192" s="150">
        <v>2.5999999999999999E-2</v>
      </c>
      <c r="N192" s="93">
        <v>2.1000000000000001E-2</v>
      </c>
      <c r="O192" s="93">
        <v>2.8000000000000001E-2</v>
      </c>
      <c r="P192" s="93">
        <v>0.03</v>
      </c>
      <c r="Q192" s="93">
        <v>4.2000000000000003E-2</v>
      </c>
      <c r="R192" s="93" t="s">
        <v>31</v>
      </c>
      <c r="S192" s="93" t="s">
        <v>31</v>
      </c>
      <c r="T192" s="93" t="s">
        <v>31</v>
      </c>
      <c r="U192" s="93" t="s">
        <v>31</v>
      </c>
      <c r="V192" s="93" t="s">
        <v>31</v>
      </c>
      <c r="W192" s="93" t="s">
        <v>31</v>
      </c>
      <c r="X192" s="93" t="s">
        <v>31</v>
      </c>
      <c r="Y192" s="93" t="s">
        <v>31</v>
      </c>
      <c r="Z192" s="93" t="s">
        <v>31</v>
      </c>
      <c r="AA192" s="93" t="s">
        <v>31</v>
      </c>
      <c r="AB192" s="93" t="s">
        <v>31</v>
      </c>
      <c r="AC192" s="152">
        <v>1.0331999999999999</v>
      </c>
      <c r="AD192" s="93" t="s">
        <v>31</v>
      </c>
      <c r="AE192" s="93" t="s">
        <v>31</v>
      </c>
      <c r="AF192" s="152">
        <v>1.0331999999999999</v>
      </c>
      <c r="AG192" s="93" t="s">
        <v>31</v>
      </c>
      <c r="AH192" s="93" t="s">
        <v>31</v>
      </c>
      <c r="AI192" s="93" t="s">
        <v>31</v>
      </c>
      <c r="AJ192" s="93" t="s">
        <v>31</v>
      </c>
      <c r="AK192" s="93" t="s">
        <v>31</v>
      </c>
      <c r="AL192" s="93" t="s">
        <v>31</v>
      </c>
      <c r="AM192" s="152">
        <v>2.8000000000000001E-2</v>
      </c>
      <c r="AN192" s="96">
        <v>4.5600000000000002E-2</v>
      </c>
      <c r="AO192" s="71" t="s">
        <v>31</v>
      </c>
      <c r="AP192" s="71" t="s">
        <v>31</v>
      </c>
      <c r="AQ192" s="71" t="s">
        <v>31</v>
      </c>
      <c r="AR192" s="71" t="s">
        <v>31</v>
      </c>
      <c r="AS192" s="152">
        <v>3.15E-2</v>
      </c>
      <c r="AT192" s="152">
        <v>3.4599999999999999E-2</v>
      </c>
      <c r="AU192" s="152">
        <v>2.8000000000000001E-2</v>
      </c>
      <c r="AV192" s="71" t="s">
        <v>31</v>
      </c>
      <c r="AW192" s="71" t="s">
        <v>31</v>
      </c>
      <c r="AX192" s="71" t="s">
        <v>31</v>
      </c>
      <c r="AY192" s="71" t="s">
        <v>31</v>
      </c>
      <c r="AZ192" s="152">
        <v>3.15E-2</v>
      </c>
      <c r="BA192" s="152">
        <v>3.4599999999999999E-2</v>
      </c>
    </row>
    <row r="193" spans="1:53" x14ac:dyDescent="0.2">
      <c r="A193" s="71">
        <v>34.5</v>
      </c>
      <c r="B193" s="93" t="s">
        <v>31</v>
      </c>
      <c r="C193" s="93" t="s">
        <v>31</v>
      </c>
      <c r="D193" s="93" t="s">
        <v>31</v>
      </c>
      <c r="E193" s="93" t="s">
        <v>31</v>
      </c>
      <c r="F193" s="93" t="s">
        <v>31</v>
      </c>
      <c r="G193" s="93" t="s">
        <v>31</v>
      </c>
      <c r="H193" s="93" t="s">
        <v>31</v>
      </c>
      <c r="I193" s="93" t="s">
        <v>31</v>
      </c>
      <c r="J193" s="93" t="s">
        <v>31</v>
      </c>
      <c r="K193" s="93" t="s">
        <v>31</v>
      </c>
      <c r="L193" s="157">
        <v>2.7300000000000001E-2</v>
      </c>
      <c r="M193" s="150">
        <v>2.5999999999999999E-2</v>
      </c>
      <c r="N193" s="93">
        <v>2.1000000000000001E-2</v>
      </c>
      <c r="O193" s="93">
        <v>2.8000000000000001E-2</v>
      </c>
      <c r="P193" s="93">
        <v>0.03</v>
      </c>
      <c r="Q193" s="93">
        <v>4.2000000000000003E-2</v>
      </c>
      <c r="R193" s="93" t="s">
        <v>31</v>
      </c>
      <c r="S193" s="93" t="s">
        <v>31</v>
      </c>
      <c r="T193" s="93" t="s">
        <v>31</v>
      </c>
      <c r="U193" s="93" t="s">
        <v>31</v>
      </c>
      <c r="V193" s="93" t="s">
        <v>31</v>
      </c>
      <c r="W193" s="93" t="s">
        <v>31</v>
      </c>
      <c r="X193" s="93" t="s">
        <v>31</v>
      </c>
      <c r="Y193" s="93" t="s">
        <v>31</v>
      </c>
      <c r="Z193" s="93" t="s">
        <v>31</v>
      </c>
      <c r="AA193" s="93" t="s">
        <v>31</v>
      </c>
      <c r="AB193" s="93" t="s">
        <v>31</v>
      </c>
      <c r="AC193" s="93" t="s">
        <v>31</v>
      </c>
      <c r="AD193" s="93" t="s">
        <v>31</v>
      </c>
      <c r="AE193" s="93" t="s">
        <v>31</v>
      </c>
      <c r="AF193" s="93" t="s">
        <v>31</v>
      </c>
      <c r="AG193" s="93" t="s">
        <v>31</v>
      </c>
      <c r="AH193" s="93" t="s">
        <v>31</v>
      </c>
      <c r="AI193" s="93" t="s">
        <v>31</v>
      </c>
      <c r="AJ193" s="93" t="s">
        <v>31</v>
      </c>
      <c r="AK193" s="93" t="s">
        <v>31</v>
      </c>
      <c r="AL193" s="93" t="s">
        <v>31</v>
      </c>
      <c r="AM193" s="152">
        <v>2.8000000000000001E-2</v>
      </c>
      <c r="AN193" s="96">
        <v>4.5600000000000002E-2</v>
      </c>
      <c r="AO193" s="71" t="s">
        <v>31</v>
      </c>
      <c r="AP193" s="71" t="s">
        <v>31</v>
      </c>
      <c r="AQ193" s="71" t="s">
        <v>31</v>
      </c>
      <c r="AR193" s="71" t="s">
        <v>31</v>
      </c>
      <c r="AS193" s="152">
        <v>3.15E-2</v>
      </c>
      <c r="AT193" s="152">
        <v>3.4599999999999999E-2</v>
      </c>
      <c r="AU193" s="152">
        <v>2.8000000000000001E-2</v>
      </c>
      <c r="AV193" s="71" t="s">
        <v>31</v>
      </c>
      <c r="AW193" s="71" t="s">
        <v>31</v>
      </c>
      <c r="AX193" s="71" t="s">
        <v>31</v>
      </c>
      <c r="AY193" s="71" t="s">
        <v>31</v>
      </c>
      <c r="AZ193" s="152">
        <v>3.15E-2</v>
      </c>
      <c r="BA193" s="152">
        <v>3.4599999999999999E-2</v>
      </c>
    </row>
    <row r="194" spans="1:53" x14ac:dyDescent="0.2">
      <c r="A194" s="71">
        <v>35</v>
      </c>
      <c r="B194" s="93" t="s">
        <v>31</v>
      </c>
      <c r="C194" s="93" t="s">
        <v>31</v>
      </c>
      <c r="D194" s="93" t="s">
        <v>31</v>
      </c>
      <c r="E194" s="93" t="s">
        <v>31</v>
      </c>
      <c r="F194" s="93" t="s">
        <v>31</v>
      </c>
      <c r="G194" s="93" t="s">
        <v>31</v>
      </c>
      <c r="H194" s="93" t="s">
        <v>31</v>
      </c>
      <c r="I194" s="93" t="s">
        <v>31</v>
      </c>
      <c r="J194" s="93" t="s">
        <v>31</v>
      </c>
      <c r="K194" s="93" t="s">
        <v>31</v>
      </c>
      <c r="L194" s="157">
        <v>2.7300000000000001E-2</v>
      </c>
      <c r="M194" s="150">
        <v>2.5999999999999999E-2</v>
      </c>
      <c r="N194" s="93">
        <v>2.1000000000000001E-2</v>
      </c>
      <c r="O194" s="93">
        <v>2.8000000000000001E-2</v>
      </c>
      <c r="P194" s="93">
        <v>0.03</v>
      </c>
      <c r="Q194" s="93">
        <v>4.2000000000000003E-2</v>
      </c>
      <c r="R194" s="93" t="s">
        <v>31</v>
      </c>
      <c r="S194" s="93" t="s">
        <v>31</v>
      </c>
      <c r="T194" s="93" t="s">
        <v>31</v>
      </c>
      <c r="U194" s="93" t="s">
        <v>31</v>
      </c>
      <c r="V194" s="93" t="s">
        <v>31</v>
      </c>
      <c r="W194" s="93" t="s">
        <v>31</v>
      </c>
      <c r="X194" s="93" t="s">
        <v>31</v>
      </c>
      <c r="Y194" s="93" t="s">
        <v>31</v>
      </c>
      <c r="Z194" s="93" t="s">
        <v>31</v>
      </c>
      <c r="AA194" s="93" t="s">
        <v>31</v>
      </c>
      <c r="AB194" s="93" t="s">
        <v>31</v>
      </c>
      <c r="AC194" s="93" t="s">
        <v>31</v>
      </c>
      <c r="AD194" s="93" t="s">
        <v>31</v>
      </c>
      <c r="AE194" s="93" t="s">
        <v>31</v>
      </c>
      <c r="AF194" s="93" t="s">
        <v>31</v>
      </c>
      <c r="AG194" s="93" t="s">
        <v>31</v>
      </c>
      <c r="AH194" s="93" t="s">
        <v>31</v>
      </c>
      <c r="AI194" s="93" t="s">
        <v>31</v>
      </c>
      <c r="AJ194" s="93" t="s">
        <v>31</v>
      </c>
      <c r="AK194" s="93" t="s">
        <v>31</v>
      </c>
      <c r="AL194" s="93" t="s">
        <v>31</v>
      </c>
      <c r="AM194" s="152">
        <v>2.8000000000000001E-2</v>
      </c>
      <c r="AN194" s="96">
        <v>4.5600000000000002E-2</v>
      </c>
      <c r="AO194" s="71" t="s">
        <v>31</v>
      </c>
      <c r="AP194" s="71" t="s">
        <v>31</v>
      </c>
      <c r="AQ194" s="71" t="s">
        <v>31</v>
      </c>
      <c r="AR194" s="71" t="s">
        <v>31</v>
      </c>
      <c r="AS194" s="152">
        <v>3.15E-2</v>
      </c>
      <c r="AT194" s="152">
        <v>3.2199999999999999E-2</v>
      </c>
      <c r="AU194" s="152">
        <v>2.8000000000000001E-2</v>
      </c>
      <c r="AV194" s="71" t="s">
        <v>31</v>
      </c>
      <c r="AW194" s="71" t="s">
        <v>31</v>
      </c>
      <c r="AX194" s="71" t="s">
        <v>31</v>
      </c>
      <c r="AY194" s="71" t="s">
        <v>31</v>
      </c>
      <c r="AZ194" s="152">
        <v>3.15E-2</v>
      </c>
      <c r="BA194" s="152">
        <v>3.2199999999999999E-2</v>
      </c>
    </row>
    <row r="195" spans="1:53" x14ac:dyDescent="0.2">
      <c r="A195" s="71">
        <v>37</v>
      </c>
      <c r="B195" s="93" t="s">
        <v>31</v>
      </c>
      <c r="C195" s="93" t="s">
        <v>31</v>
      </c>
      <c r="D195" s="93" t="s">
        <v>31</v>
      </c>
      <c r="E195" s="93" t="s">
        <v>31</v>
      </c>
      <c r="F195" s="93" t="s">
        <v>31</v>
      </c>
      <c r="G195" s="93" t="s">
        <v>31</v>
      </c>
      <c r="H195" s="93" t="s">
        <v>31</v>
      </c>
      <c r="I195" s="93" t="s">
        <v>31</v>
      </c>
      <c r="J195" s="93" t="s">
        <v>31</v>
      </c>
      <c r="K195" s="93" t="s">
        <v>31</v>
      </c>
      <c r="L195" s="157">
        <v>2.7300000000000001E-2</v>
      </c>
      <c r="M195" s="150">
        <v>2.7E-2</v>
      </c>
      <c r="N195" s="93">
        <v>2.1999999999999999E-2</v>
      </c>
      <c r="O195" s="93">
        <v>2.8000000000000001E-2</v>
      </c>
      <c r="P195" s="93">
        <v>0.03</v>
      </c>
      <c r="Q195" s="93">
        <v>4.2000000000000003E-2</v>
      </c>
      <c r="R195" s="93" t="s">
        <v>31</v>
      </c>
      <c r="S195" s="93" t="s">
        <v>31</v>
      </c>
      <c r="T195" s="93" t="s">
        <v>31</v>
      </c>
      <c r="U195" s="93" t="s">
        <v>31</v>
      </c>
      <c r="V195" s="93" t="s">
        <v>31</v>
      </c>
      <c r="W195" s="93" t="s">
        <v>31</v>
      </c>
      <c r="X195" s="93" t="s">
        <v>31</v>
      </c>
      <c r="Y195" s="93" t="s">
        <v>31</v>
      </c>
      <c r="Z195" s="93" t="s">
        <v>31</v>
      </c>
      <c r="AA195" s="93" t="s">
        <v>31</v>
      </c>
      <c r="AB195" s="93" t="s">
        <v>31</v>
      </c>
      <c r="AC195" s="93" t="s">
        <v>31</v>
      </c>
      <c r="AD195" s="93" t="s">
        <v>31</v>
      </c>
      <c r="AE195" s="93" t="s">
        <v>31</v>
      </c>
      <c r="AF195" s="93" t="s">
        <v>31</v>
      </c>
      <c r="AG195" s="93" t="s">
        <v>31</v>
      </c>
      <c r="AH195" s="93" t="s">
        <v>31</v>
      </c>
      <c r="AI195" s="93" t="s">
        <v>31</v>
      </c>
      <c r="AJ195" s="93" t="s">
        <v>31</v>
      </c>
      <c r="AK195" s="93" t="s">
        <v>31</v>
      </c>
      <c r="AL195" s="93" t="s">
        <v>31</v>
      </c>
      <c r="AM195" s="152">
        <v>2.8000000000000001E-2</v>
      </c>
      <c r="AN195" s="96">
        <v>4.5600000000000002E-2</v>
      </c>
      <c r="AO195" s="71" t="s">
        <v>31</v>
      </c>
      <c r="AP195" s="71" t="s">
        <v>31</v>
      </c>
      <c r="AQ195" s="71" t="s">
        <v>31</v>
      </c>
      <c r="AR195" s="71" t="s">
        <v>31</v>
      </c>
      <c r="AS195" s="152">
        <v>3.15E-2</v>
      </c>
      <c r="AT195" s="152">
        <v>3.2199999999999999E-2</v>
      </c>
      <c r="AU195" s="152">
        <v>2.8000000000000001E-2</v>
      </c>
      <c r="AV195" s="71" t="s">
        <v>31</v>
      </c>
      <c r="AW195" s="71" t="s">
        <v>31</v>
      </c>
      <c r="AX195" s="71" t="s">
        <v>31</v>
      </c>
      <c r="AY195" s="71" t="s">
        <v>31</v>
      </c>
      <c r="AZ195" s="152">
        <v>3.15E-2</v>
      </c>
      <c r="BA195" s="152">
        <v>3.2199999999999999E-2</v>
      </c>
    </row>
    <row r="196" spans="1:53" x14ac:dyDescent="0.2">
      <c r="A196" s="71">
        <v>40</v>
      </c>
      <c r="B196" s="93" t="s">
        <v>31</v>
      </c>
      <c r="C196" s="93" t="s">
        <v>31</v>
      </c>
      <c r="D196" s="93" t="s">
        <v>31</v>
      </c>
      <c r="E196" s="93" t="s">
        <v>31</v>
      </c>
      <c r="F196" s="93" t="s">
        <v>31</v>
      </c>
      <c r="G196" s="93" t="s">
        <v>31</v>
      </c>
      <c r="H196" s="93" t="s">
        <v>31</v>
      </c>
      <c r="I196" s="93" t="s">
        <v>31</v>
      </c>
      <c r="J196" s="93" t="s">
        <v>31</v>
      </c>
      <c r="K196" s="93" t="s">
        <v>31</v>
      </c>
      <c r="L196" s="157">
        <v>3.6700000000000003E-2</v>
      </c>
      <c r="M196" s="150">
        <v>0.03</v>
      </c>
      <c r="N196" s="93">
        <v>2.1999999999999999E-2</v>
      </c>
      <c r="O196" s="93">
        <v>2.9000000000000001E-2</v>
      </c>
      <c r="P196" s="93">
        <v>0.03</v>
      </c>
      <c r="Q196" s="93">
        <v>4.2000000000000003E-2</v>
      </c>
      <c r="R196" s="93" t="s">
        <v>31</v>
      </c>
      <c r="S196" s="93" t="s">
        <v>31</v>
      </c>
      <c r="T196" s="93" t="s">
        <v>31</v>
      </c>
      <c r="U196" s="93" t="s">
        <v>31</v>
      </c>
      <c r="V196" s="93" t="s">
        <v>31</v>
      </c>
      <c r="W196" s="93" t="s">
        <v>31</v>
      </c>
      <c r="X196" s="93" t="s">
        <v>31</v>
      </c>
      <c r="Y196" s="93" t="s">
        <v>31</v>
      </c>
      <c r="Z196" s="93" t="s">
        <v>31</v>
      </c>
      <c r="AA196" s="93" t="s">
        <v>31</v>
      </c>
      <c r="AB196" s="93" t="s">
        <v>31</v>
      </c>
      <c r="AC196" s="93" t="s">
        <v>31</v>
      </c>
      <c r="AD196" s="93" t="s">
        <v>31</v>
      </c>
      <c r="AE196" s="93" t="s">
        <v>31</v>
      </c>
      <c r="AF196" s="93" t="s">
        <v>31</v>
      </c>
      <c r="AG196" s="93" t="s">
        <v>31</v>
      </c>
      <c r="AH196" s="93" t="s">
        <v>31</v>
      </c>
      <c r="AI196" s="93" t="s">
        <v>31</v>
      </c>
      <c r="AJ196" s="93" t="s">
        <v>31</v>
      </c>
      <c r="AK196" s="93" t="s">
        <v>31</v>
      </c>
      <c r="AL196" s="93" t="s">
        <v>31</v>
      </c>
      <c r="AM196" s="152">
        <v>3.6600000000000001E-2</v>
      </c>
      <c r="AN196" s="96">
        <v>4.5600000000000002E-2</v>
      </c>
      <c r="AO196" s="71" t="s">
        <v>31</v>
      </c>
      <c r="AP196" s="71" t="s">
        <v>31</v>
      </c>
      <c r="AQ196" s="71" t="s">
        <v>31</v>
      </c>
      <c r="AR196" s="71" t="s">
        <v>31</v>
      </c>
      <c r="AS196" s="152">
        <v>3.15E-2</v>
      </c>
      <c r="AT196" s="152">
        <v>3.2599999999999997E-2</v>
      </c>
      <c r="AU196" s="152">
        <v>3.6600000000000001E-2</v>
      </c>
      <c r="AV196" s="71" t="s">
        <v>31</v>
      </c>
      <c r="AW196" s="71" t="s">
        <v>31</v>
      </c>
      <c r="AX196" s="71" t="s">
        <v>31</v>
      </c>
      <c r="AY196" s="71" t="s">
        <v>31</v>
      </c>
      <c r="AZ196" s="152">
        <v>3.15E-2</v>
      </c>
      <c r="BA196" s="152">
        <v>3.2599999999999997E-2</v>
      </c>
    </row>
    <row r="197" spans="1:53" x14ac:dyDescent="0.2">
      <c r="A197" s="71">
        <v>42</v>
      </c>
      <c r="B197" s="93" t="s">
        <v>31</v>
      </c>
      <c r="C197" s="93" t="s">
        <v>31</v>
      </c>
      <c r="D197" s="93" t="s">
        <v>31</v>
      </c>
      <c r="E197" s="93" t="s">
        <v>31</v>
      </c>
      <c r="F197" s="93" t="s">
        <v>31</v>
      </c>
      <c r="G197" s="93" t="s">
        <v>31</v>
      </c>
      <c r="H197" s="93" t="s">
        <v>31</v>
      </c>
      <c r="I197" s="93" t="s">
        <v>31</v>
      </c>
      <c r="J197" s="93" t="s">
        <v>31</v>
      </c>
      <c r="K197" s="93" t="s">
        <v>31</v>
      </c>
      <c r="L197" s="157">
        <v>3.6700000000000003E-2</v>
      </c>
      <c r="M197" s="150">
        <v>3.2000000000000001E-2</v>
      </c>
      <c r="N197" s="93" t="s">
        <v>31</v>
      </c>
      <c r="O197" s="93">
        <v>3.9E-2</v>
      </c>
      <c r="P197" s="93" t="s">
        <v>31</v>
      </c>
      <c r="Q197" s="93">
        <v>4.9000000000000002E-2</v>
      </c>
      <c r="R197" s="93" t="s">
        <v>31</v>
      </c>
      <c r="S197" s="93" t="s">
        <v>31</v>
      </c>
      <c r="T197" s="93" t="s">
        <v>31</v>
      </c>
      <c r="U197" s="93" t="s">
        <v>31</v>
      </c>
      <c r="V197" s="93" t="s">
        <v>31</v>
      </c>
      <c r="W197" s="93" t="s">
        <v>31</v>
      </c>
      <c r="X197" s="93" t="s">
        <v>31</v>
      </c>
      <c r="Y197" s="93" t="s">
        <v>31</v>
      </c>
      <c r="Z197" s="93" t="s">
        <v>31</v>
      </c>
      <c r="AA197" s="93" t="s">
        <v>31</v>
      </c>
      <c r="AB197" s="93" t="s">
        <v>31</v>
      </c>
      <c r="AC197" s="93" t="s">
        <v>31</v>
      </c>
      <c r="AD197" s="93" t="s">
        <v>31</v>
      </c>
      <c r="AE197" s="93" t="s">
        <v>31</v>
      </c>
      <c r="AF197" s="93" t="s">
        <v>31</v>
      </c>
      <c r="AG197" s="93" t="s">
        <v>31</v>
      </c>
      <c r="AH197" s="93" t="s">
        <v>31</v>
      </c>
      <c r="AI197" s="93" t="s">
        <v>31</v>
      </c>
      <c r="AJ197" s="93" t="s">
        <v>31</v>
      </c>
      <c r="AK197" s="93" t="s">
        <v>31</v>
      </c>
      <c r="AL197" s="93" t="s">
        <v>31</v>
      </c>
      <c r="AM197" s="152">
        <v>3.6600000000000001E-2</v>
      </c>
      <c r="AN197" s="96">
        <v>4.5600000000000002E-2</v>
      </c>
      <c r="AO197" s="71" t="s">
        <v>31</v>
      </c>
      <c r="AP197" s="71" t="s">
        <v>31</v>
      </c>
      <c r="AQ197" s="71" t="s">
        <v>31</v>
      </c>
      <c r="AR197" s="71" t="s">
        <v>31</v>
      </c>
      <c r="AS197" s="71" t="s">
        <v>31</v>
      </c>
      <c r="AT197" s="152">
        <v>3.2599999999999997E-2</v>
      </c>
      <c r="AU197" s="152">
        <v>3.6600000000000001E-2</v>
      </c>
      <c r="AV197" s="71" t="s">
        <v>31</v>
      </c>
      <c r="AW197" s="71" t="s">
        <v>31</v>
      </c>
      <c r="AX197" s="71" t="s">
        <v>31</v>
      </c>
      <c r="AY197" s="71" t="s">
        <v>31</v>
      </c>
      <c r="AZ197" s="71" t="s">
        <v>31</v>
      </c>
      <c r="BA197" s="152">
        <v>3.2599999999999997E-2</v>
      </c>
    </row>
    <row r="198" spans="1:53" x14ac:dyDescent="0.2">
      <c r="A198" s="71">
        <v>44</v>
      </c>
      <c r="B198" s="93" t="s">
        <v>31</v>
      </c>
      <c r="C198" s="93" t="s">
        <v>31</v>
      </c>
      <c r="D198" s="93" t="s">
        <v>31</v>
      </c>
      <c r="E198" s="93" t="s">
        <v>31</v>
      </c>
      <c r="F198" s="93" t="s">
        <v>31</v>
      </c>
      <c r="G198" s="93" t="s">
        <v>31</v>
      </c>
      <c r="H198" s="93" t="s">
        <v>31</v>
      </c>
      <c r="I198" s="93" t="s">
        <v>31</v>
      </c>
      <c r="J198" s="93" t="s">
        <v>31</v>
      </c>
      <c r="K198" s="93" t="s">
        <v>31</v>
      </c>
      <c r="L198" s="157">
        <v>3.6700000000000003E-2</v>
      </c>
      <c r="M198" s="150">
        <v>3.5000000000000003E-2</v>
      </c>
      <c r="N198" s="93" t="s">
        <v>31</v>
      </c>
      <c r="O198" s="93">
        <v>3.9E-2</v>
      </c>
      <c r="P198" s="93" t="s">
        <v>31</v>
      </c>
      <c r="Q198" s="93">
        <v>5.0999999999999997E-2</v>
      </c>
      <c r="R198" s="93" t="s">
        <v>31</v>
      </c>
      <c r="S198" s="93" t="s">
        <v>31</v>
      </c>
      <c r="T198" s="93" t="s">
        <v>31</v>
      </c>
      <c r="U198" s="93" t="s">
        <v>31</v>
      </c>
      <c r="V198" s="93" t="s">
        <v>31</v>
      </c>
      <c r="W198" s="93" t="s">
        <v>31</v>
      </c>
      <c r="X198" s="93" t="s">
        <v>31</v>
      </c>
      <c r="Y198" s="93" t="s">
        <v>31</v>
      </c>
      <c r="Z198" s="93" t="s">
        <v>31</v>
      </c>
      <c r="AA198" s="93" t="s">
        <v>31</v>
      </c>
      <c r="AB198" s="93" t="s">
        <v>31</v>
      </c>
      <c r="AC198" s="93" t="s">
        <v>31</v>
      </c>
      <c r="AD198" s="93" t="s">
        <v>31</v>
      </c>
      <c r="AE198" s="93" t="s">
        <v>31</v>
      </c>
      <c r="AF198" s="93" t="s">
        <v>31</v>
      </c>
      <c r="AG198" s="93" t="s">
        <v>31</v>
      </c>
      <c r="AH198" s="93" t="s">
        <v>31</v>
      </c>
      <c r="AI198" s="93" t="s">
        <v>31</v>
      </c>
      <c r="AJ198" s="93" t="s">
        <v>31</v>
      </c>
      <c r="AK198" s="93" t="s">
        <v>31</v>
      </c>
      <c r="AL198" s="93" t="s">
        <v>31</v>
      </c>
      <c r="AM198" s="152">
        <v>3.6600000000000001E-2</v>
      </c>
      <c r="AN198" s="96">
        <v>4.5600000000000002E-2</v>
      </c>
      <c r="AO198" s="71" t="s">
        <v>31</v>
      </c>
      <c r="AP198" s="71" t="s">
        <v>31</v>
      </c>
      <c r="AQ198" s="71" t="s">
        <v>31</v>
      </c>
      <c r="AR198" s="71" t="s">
        <v>31</v>
      </c>
      <c r="AS198" s="71" t="s">
        <v>31</v>
      </c>
      <c r="AT198" s="152">
        <v>3.2599999999999997E-2</v>
      </c>
      <c r="AU198" s="152">
        <v>3.6600000000000001E-2</v>
      </c>
      <c r="AV198" s="71" t="s">
        <v>31</v>
      </c>
      <c r="AW198" s="71" t="s">
        <v>31</v>
      </c>
      <c r="AX198" s="71" t="s">
        <v>31</v>
      </c>
      <c r="AY198" s="71" t="s">
        <v>31</v>
      </c>
      <c r="AZ198" s="71" t="s">
        <v>31</v>
      </c>
      <c r="BA198" s="152">
        <v>3.2599999999999997E-2</v>
      </c>
    </row>
    <row r="199" spans="1:53" x14ac:dyDescent="0.2">
      <c r="A199" s="71">
        <v>45</v>
      </c>
      <c r="B199" s="93" t="s">
        <v>31</v>
      </c>
      <c r="C199" s="93" t="s">
        <v>31</v>
      </c>
      <c r="D199" s="93" t="s">
        <v>31</v>
      </c>
      <c r="E199" s="93" t="s">
        <v>31</v>
      </c>
      <c r="F199" s="93" t="s">
        <v>31</v>
      </c>
      <c r="G199" s="93" t="s">
        <v>31</v>
      </c>
      <c r="H199" s="93" t="s">
        <v>31</v>
      </c>
      <c r="I199" s="93" t="s">
        <v>31</v>
      </c>
      <c r="J199" s="93" t="s">
        <v>31</v>
      </c>
      <c r="K199" s="93" t="s">
        <v>31</v>
      </c>
      <c r="L199" s="157">
        <v>4.3299999999999998E-2</v>
      </c>
      <c r="M199" s="150">
        <v>3.5000000000000003E-2</v>
      </c>
      <c r="N199" s="93" t="s">
        <v>31</v>
      </c>
      <c r="O199" s="93">
        <v>3.9E-2</v>
      </c>
      <c r="P199" s="93" t="s">
        <v>31</v>
      </c>
      <c r="Q199" s="93">
        <v>5.0999999999999997E-2</v>
      </c>
      <c r="R199" s="93" t="s">
        <v>31</v>
      </c>
      <c r="S199" s="93" t="s">
        <v>31</v>
      </c>
      <c r="T199" s="93" t="s">
        <v>31</v>
      </c>
      <c r="U199" s="93" t="s">
        <v>31</v>
      </c>
      <c r="V199" s="93" t="s">
        <v>31</v>
      </c>
      <c r="W199" s="93" t="s">
        <v>31</v>
      </c>
      <c r="X199" s="93" t="s">
        <v>31</v>
      </c>
      <c r="Y199" s="93" t="s">
        <v>31</v>
      </c>
      <c r="Z199" s="93" t="s">
        <v>31</v>
      </c>
      <c r="AA199" s="93" t="s">
        <v>31</v>
      </c>
      <c r="AB199" s="93" t="s">
        <v>31</v>
      </c>
      <c r="AC199" s="93" t="s">
        <v>31</v>
      </c>
      <c r="AD199" s="93" t="s">
        <v>31</v>
      </c>
      <c r="AE199" s="93" t="s">
        <v>31</v>
      </c>
      <c r="AF199" s="93" t="s">
        <v>31</v>
      </c>
      <c r="AG199" s="93" t="s">
        <v>31</v>
      </c>
      <c r="AH199" s="93" t="s">
        <v>31</v>
      </c>
      <c r="AI199" s="93" t="s">
        <v>31</v>
      </c>
      <c r="AJ199" s="93" t="s">
        <v>31</v>
      </c>
      <c r="AK199" s="93" t="s">
        <v>31</v>
      </c>
      <c r="AL199" s="93" t="s">
        <v>31</v>
      </c>
      <c r="AM199" s="152">
        <v>4.2299999999999997E-2</v>
      </c>
      <c r="AN199" s="96">
        <v>4.5600000000000002E-2</v>
      </c>
      <c r="AO199" s="71" t="s">
        <v>31</v>
      </c>
      <c r="AP199" s="71" t="s">
        <v>31</v>
      </c>
      <c r="AQ199" s="71" t="s">
        <v>31</v>
      </c>
      <c r="AR199" s="71" t="s">
        <v>31</v>
      </c>
      <c r="AS199" s="71" t="s">
        <v>31</v>
      </c>
      <c r="AT199" s="152">
        <v>3.3300000000000003E-2</v>
      </c>
      <c r="AU199" s="152">
        <v>4.2299999999999997E-2</v>
      </c>
      <c r="AV199" s="71" t="s">
        <v>31</v>
      </c>
      <c r="AW199" s="71" t="s">
        <v>31</v>
      </c>
      <c r="AX199" s="71" t="s">
        <v>31</v>
      </c>
      <c r="AY199" s="71" t="s">
        <v>31</v>
      </c>
      <c r="AZ199" s="71" t="s">
        <v>31</v>
      </c>
      <c r="BA199" s="152">
        <v>3.3300000000000003E-2</v>
      </c>
    </row>
    <row r="200" spans="1:53" x14ac:dyDescent="0.2">
      <c r="A200" s="71">
        <v>46</v>
      </c>
      <c r="B200" s="93" t="s">
        <v>31</v>
      </c>
      <c r="C200" s="93" t="s">
        <v>31</v>
      </c>
      <c r="D200" s="93" t="s">
        <v>31</v>
      </c>
      <c r="E200" s="93" t="s">
        <v>31</v>
      </c>
      <c r="F200" s="93" t="s">
        <v>31</v>
      </c>
      <c r="G200" s="93" t="s">
        <v>31</v>
      </c>
      <c r="H200" s="93" t="s">
        <v>31</v>
      </c>
      <c r="I200" s="93" t="s">
        <v>31</v>
      </c>
      <c r="J200" s="93" t="s">
        <v>31</v>
      </c>
      <c r="K200" s="93" t="s">
        <v>31</v>
      </c>
      <c r="L200" s="157">
        <v>4.3299999999999998E-2</v>
      </c>
      <c r="M200" s="150">
        <v>3.7999999999999999E-2</v>
      </c>
      <c r="N200" s="93" t="s">
        <v>31</v>
      </c>
      <c r="O200" s="93">
        <v>3.9E-2</v>
      </c>
      <c r="P200" s="93" t="s">
        <v>31</v>
      </c>
      <c r="Q200" s="93">
        <v>5.5E-2</v>
      </c>
      <c r="R200" s="93" t="s">
        <v>31</v>
      </c>
      <c r="S200" s="93" t="s">
        <v>31</v>
      </c>
      <c r="T200" s="93" t="s">
        <v>31</v>
      </c>
      <c r="U200" s="93" t="s">
        <v>31</v>
      </c>
      <c r="V200" s="93" t="s">
        <v>31</v>
      </c>
      <c r="W200" s="93" t="s">
        <v>31</v>
      </c>
      <c r="X200" s="93" t="s">
        <v>31</v>
      </c>
      <c r="Y200" s="93" t="s">
        <v>31</v>
      </c>
      <c r="Z200" s="93" t="s">
        <v>31</v>
      </c>
      <c r="AA200" s="93" t="s">
        <v>31</v>
      </c>
      <c r="AB200" s="93" t="s">
        <v>31</v>
      </c>
      <c r="AC200" s="93" t="s">
        <v>31</v>
      </c>
      <c r="AD200" s="93" t="s">
        <v>31</v>
      </c>
      <c r="AE200" s="93" t="s">
        <v>31</v>
      </c>
      <c r="AF200" s="93" t="s">
        <v>31</v>
      </c>
      <c r="AG200" s="93" t="s">
        <v>31</v>
      </c>
      <c r="AH200" s="93" t="s">
        <v>31</v>
      </c>
      <c r="AI200" s="93" t="s">
        <v>31</v>
      </c>
      <c r="AJ200" s="93" t="s">
        <v>31</v>
      </c>
      <c r="AK200" s="93" t="s">
        <v>31</v>
      </c>
      <c r="AL200" s="93" t="s">
        <v>31</v>
      </c>
      <c r="AM200" s="152">
        <v>4.2299999999999997E-2</v>
      </c>
      <c r="AN200" s="96">
        <v>4.5600000000000002E-2</v>
      </c>
      <c r="AO200" s="71" t="s">
        <v>31</v>
      </c>
      <c r="AP200" s="71" t="s">
        <v>31</v>
      </c>
      <c r="AQ200" s="71" t="s">
        <v>31</v>
      </c>
      <c r="AR200" s="71" t="s">
        <v>31</v>
      </c>
      <c r="AS200" s="71" t="s">
        <v>31</v>
      </c>
      <c r="AT200" s="152">
        <v>3.3300000000000003E-2</v>
      </c>
      <c r="AU200" s="152">
        <v>4.2299999999999997E-2</v>
      </c>
      <c r="AV200" s="71" t="s">
        <v>31</v>
      </c>
      <c r="AW200" s="71" t="s">
        <v>31</v>
      </c>
      <c r="AX200" s="71" t="s">
        <v>31</v>
      </c>
      <c r="AY200" s="71" t="s">
        <v>31</v>
      </c>
      <c r="AZ200" s="71" t="s">
        <v>31</v>
      </c>
      <c r="BA200" s="152">
        <v>3.3300000000000003E-2</v>
      </c>
    </row>
    <row r="201" spans="1:53" x14ac:dyDescent="0.2">
      <c r="A201" s="71">
        <v>48</v>
      </c>
      <c r="B201" s="93" t="s">
        <v>31</v>
      </c>
      <c r="C201" s="93" t="s">
        <v>31</v>
      </c>
      <c r="D201" s="93" t="s">
        <v>31</v>
      </c>
      <c r="E201" s="93" t="s">
        <v>31</v>
      </c>
      <c r="F201" s="93" t="s">
        <v>31</v>
      </c>
      <c r="G201" s="93" t="s">
        <v>31</v>
      </c>
      <c r="H201" s="93" t="s">
        <v>31</v>
      </c>
      <c r="I201" s="93" t="s">
        <v>31</v>
      </c>
      <c r="J201" s="93" t="s">
        <v>31</v>
      </c>
      <c r="K201" s="93" t="s">
        <v>31</v>
      </c>
      <c r="L201" s="157">
        <v>4.3299999999999998E-2</v>
      </c>
      <c r="M201" s="150">
        <v>3.7999999999999999E-2</v>
      </c>
      <c r="N201" s="93" t="s">
        <v>31</v>
      </c>
      <c r="O201" s="93">
        <v>4.9000000000000002E-2</v>
      </c>
      <c r="P201" s="93" t="s">
        <v>31</v>
      </c>
      <c r="Q201" s="93">
        <v>5.8000000000000003E-2</v>
      </c>
      <c r="R201" s="93" t="s">
        <v>31</v>
      </c>
      <c r="S201" s="93" t="s">
        <v>31</v>
      </c>
      <c r="T201" s="93" t="s">
        <v>31</v>
      </c>
      <c r="U201" s="93" t="s">
        <v>31</v>
      </c>
      <c r="V201" s="93" t="s">
        <v>31</v>
      </c>
      <c r="W201" s="93" t="s">
        <v>31</v>
      </c>
      <c r="X201" s="93" t="s">
        <v>31</v>
      </c>
      <c r="Y201" s="93" t="s">
        <v>31</v>
      </c>
      <c r="Z201" s="93" t="s">
        <v>31</v>
      </c>
      <c r="AA201" s="93" t="s">
        <v>31</v>
      </c>
      <c r="AB201" s="93" t="s">
        <v>31</v>
      </c>
      <c r="AC201" s="93" t="s">
        <v>31</v>
      </c>
      <c r="AD201" s="93" t="s">
        <v>31</v>
      </c>
      <c r="AE201" s="93" t="s">
        <v>31</v>
      </c>
      <c r="AF201" s="93" t="s">
        <v>31</v>
      </c>
      <c r="AG201" s="93" t="s">
        <v>31</v>
      </c>
      <c r="AH201" s="93" t="s">
        <v>31</v>
      </c>
      <c r="AI201" s="93" t="s">
        <v>31</v>
      </c>
      <c r="AJ201" s="93" t="s">
        <v>31</v>
      </c>
      <c r="AK201" s="93" t="s">
        <v>31</v>
      </c>
      <c r="AL201" s="93" t="s">
        <v>31</v>
      </c>
      <c r="AM201" s="152">
        <v>4.2299999999999997E-2</v>
      </c>
      <c r="AN201" s="96">
        <v>4.5600000000000002E-2</v>
      </c>
      <c r="AO201" s="71" t="s">
        <v>31</v>
      </c>
      <c r="AP201" s="71" t="s">
        <v>31</v>
      </c>
      <c r="AQ201" s="71" t="s">
        <v>31</v>
      </c>
      <c r="AR201" s="71" t="s">
        <v>31</v>
      </c>
      <c r="AS201" s="71" t="s">
        <v>31</v>
      </c>
      <c r="AT201" s="152">
        <v>3.3300000000000003E-2</v>
      </c>
      <c r="AU201" s="152">
        <v>4.2299999999999997E-2</v>
      </c>
      <c r="AV201" s="71" t="s">
        <v>31</v>
      </c>
      <c r="AW201" s="71" t="s">
        <v>31</v>
      </c>
      <c r="AX201" s="71" t="s">
        <v>31</v>
      </c>
      <c r="AY201" s="71" t="s">
        <v>31</v>
      </c>
      <c r="AZ201" s="71" t="s">
        <v>31</v>
      </c>
      <c r="BA201" s="152">
        <v>3.3300000000000003E-2</v>
      </c>
    </row>
    <row r="202" spans="1:53" x14ac:dyDescent="0.2">
      <c r="A202" s="77">
        <v>50</v>
      </c>
      <c r="B202" s="93" t="s">
        <v>31</v>
      </c>
      <c r="C202" s="93" t="s">
        <v>31</v>
      </c>
      <c r="D202" s="93" t="s">
        <v>31</v>
      </c>
      <c r="E202" s="93" t="s">
        <v>31</v>
      </c>
      <c r="F202" s="93" t="s">
        <v>31</v>
      </c>
      <c r="G202" s="93" t="s">
        <v>31</v>
      </c>
      <c r="H202" s="93" t="s">
        <v>31</v>
      </c>
      <c r="I202" s="93" t="s">
        <v>31</v>
      </c>
      <c r="J202" s="93" t="s">
        <v>31</v>
      </c>
      <c r="K202" s="93" t="s">
        <v>31</v>
      </c>
      <c r="L202" s="157">
        <v>4.3299999999999998E-2</v>
      </c>
      <c r="M202" s="150">
        <v>0.05</v>
      </c>
      <c r="N202" s="93" t="s">
        <v>31</v>
      </c>
      <c r="O202" s="93">
        <v>5.2999999999999999E-2</v>
      </c>
      <c r="P202" s="93" t="s">
        <v>31</v>
      </c>
      <c r="Q202" s="93">
        <v>6.2E-2</v>
      </c>
      <c r="R202" s="93" t="s">
        <v>31</v>
      </c>
      <c r="S202" s="93" t="s">
        <v>31</v>
      </c>
      <c r="T202" s="93" t="s">
        <v>31</v>
      </c>
      <c r="U202" s="93" t="s">
        <v>31</v>
      </c>
      <c r="V202" s="93" t="s">
        <v>31</v>
      </c>
      <c r="W202" s="93" t="s">
        <v>31</v>
      </c>
      <c r="X202" s="93" t="s">
        <v>31</v>
      </c>
      <c r="Y202" s="93" t="s">
        <v>31</v>
      </c>
      <c r="Z202" s="93" t="s">
        <v>31</v>
      </c>
      <c r="AA202" s="93" t="s">
        <v>31</v>
      </c>
      <c r="AB202" s="93" t="s">
        <v>31</v>
      </c>
      <c r="AC202" s="93" t="s">
        <v>31</v>
      </c>
      <c r="AD202" s="93" t="s">
        <v>31</v>
      </c>
      <c r="AE202" s="93" t="s">
        <v>31</v>
      </c>
      <c r="AF202" s="93" t="s">
        <v>31</v>
      </c>
      <c r="AG202" s="99">
        <v>4.8000000000000001E-2</v>
      </c>
      <c r="AH202" s="93" t="s">
        <v>31</v>
      </c>
      <c r="AI202" s="93" t="s">
        <v>31</v>
      </c>
      <c r="AJ202" s="93" t="s">
        <v>31</v>
      </c>
      <c r="AK202" s="93" t="s">
        <v>31</v>
      </c>
      <c r="AL202" s="93" t="s">
        <v>31</v>
      </c>
      <c r="AM202" s="152">
        <v>4.2299999999999997E-2</v>
      </c>
      <c r="AN202" s="96">
        <v>5.2999999999999999E-2</v>
      </c>
      <c r="AO202" s="71" t="s">
        <v>31</v>
      </c>
      <c r="AP202" s="71" t="s">
        <v>31</v>
      </c>
      <c r="AQ202" s="71" t="s">
        <v>31</v>
      </c>
      <c r="AR202" s="71" t="s">
        <v>31</v>
      </c>
      <c r="AS202" s="71" t="s">
        <v>31</v>
      </c>
      <c r="AT202" s="152">
        <v>3.3300000000000003E-2</v>
      </c>
      <c r="AU202" s="152">
        <v>4.2299999999999997E-2</v>
      </c>
      <c r="AV202" s="71" t="s">
        <v>31</v>
      </c>
      <c r="AW202" s="71" t="s">
        <v>31</v>
      </c>
      <c r="AX202" s="71" t="s">
        <v>31</v>
      </c>
      <c r="AY202" s="71" t="s">
        <v>31</v>
      </c>
      <c r="AZ202" s="71" t="s">
        <v>31</v>
      </c>
      <c r="BA202" s="152">
        <v>3.3300000000000003E-2</v>
      </c>
    </row>
    <row r="203" spans="1:53" x14ac:dyDescent="0.2">
      <c r="A203" s="77">
        <v>51</v>
      </c>
      <c r="B203" s="93" t="s">
        <v>31</v>
      </c>
      <c r="C203" s="93" t="s">
        <v>31</v>
      </c>
      <c r="D203" s="93" t="s">
        <v>31</v>
      </c>
      <c r="E203" s="93" t="s">
        <v>31</v>
      </c>
      <c r="F203" s="93" t="s">
        <v>31</v>
      </c>
      <c r="G203" s="93" t="s">
        <v>31</v>
      </c>
      <c r="H203" s="93" t="s">
        <v>31</v>
      </c>
      <c r="I203" s="93" t="s">
        <v>31</v>
      </c>
      <c r="J203" s="93" t="s">
        <v>31</v>
      </c>
      <c r="K203" s="93" t="s">
        <v>31</v>
      </c>
      <c r="L203" s="93" t="s">
        <v>31</v>
      </c>
      <c r="M203" s="93" t="s">
        <v>31</v>
      </c>
      <c r="N203" s="93" t="s">
        <v>31</v>
      </c>
      <c r="O203" s="93" t="s">
        <v>31</v>
      </c>
      <c r="P203" s="93" t="s">
        <v>31</v>
      </c>
      <c r="Q203" s="93" t="s">
        <v>31</v>
      </c>
      <c r="R203" s="93" t="s">
        <v>31</v>
      </c>
      <c r="S203" s="93" t="s">
        <v>31</v>
      </c>
      <c r="T203" s="93" t="s">
        <v>31</v>
      </c>
      <c r="U203" s="93" t="s">
        <v>31</v>
      </c>
      <c r="V203" s="93" t="s">
        <v>31</v>
      </c>
      <c r="W203" s="93" t="s">
        <v>31</v>
      </c>
      <c r="X203" s="93" t="s">
        <v>31</v>
      </c>
      <c r="Y203" s="93" t="s">
        <v>31</v>
      </c>
      <c r="Z203" s="93" t="s">
        <v>31</v>
      </c>
      <c r="AA203" s="93" t="s">
        <v>31</v>
      </c>
      <c r="AB203" s="93" t="s">
        <v>31</v>
      </c>
      <c r="AC203" s="93" t="s">
        <v>31</v>
      </c>
      <c r="AD203" s="93" t="s">
        <v>31</v>
      </c>
      <c r="AE203" s="93" t="s">
        <v>31</v>
      </c>
      <c r="AF203" s="93" t="s">
        <v>31</v>
      </c>
      <c r="AG203" s="99">
        <v>6.0999999999999999E-2</v>
      </c>
      <c r="AH203" s="93" t="s">
        <v>31</v>
      </c>
      <c r="AI203" s="93" t="s">
        <v>31</v>
      </c>
      <c r="AJ203" s="93" t="s">
        <v>31</v>
      </c>
      <c r="AK203" s="93" t="s">
        <v>31</v>
      </c>
      <c r="AL203" s="93" t="s">
        <v>31</v>
      </c>
      <c r="AM203" s="93" t="s">
        <v>31</v>
      </c>
      <c r="AN203" s="96">
        <v>5.2999999999999999E-2</v>
      </c>
      <c r="AO203" s="93" t="s">
        <v>31</v>
      </c>
      <c r="AP203" s="93" t="s">
        <v>31</v>
      </c>
      <c r="AQ203" s="93" t="s">
        <v>31</v>
      </c>
      <c r="AR203" s="93" t="s">
        <v>31</v>
      </c>
      <c r="AS203" s="93" t="s">
        <v>31</v>
      </c>
      <c r="AT203" s="93" t="s">
        <v>31</v>
      </c>
      <c r="AU203" s="93" t="s">
        <v>31</v>
      </c>
      <c r="AV203" s="93" t="s">
        <v>31</v>
      </c>
      <c r="AW203" s="93" t="s">
        <v>31</v>
      </c>
      <c r="AX203" s="93" t="s">
        <v>31</v>
      </c>
      <c r="AY203" s="93" t="s">
        <v>31</v>
      </c>
      <c r="AZ203" s="93" t="s">
        <v>31</v>
      </c>
      <c r="BA203" s="93" t="s">
        <v>31</v>
      </c>
    </row>
    <row r="204" spans="1:53" x14ac:dyDescent="0.2">
      <c r="A204" s="77">
        <v>52</v>
      </c>
      <c r="B204" s="93" t="s">
        <v>31</v>
      </c>
      <c r="C204" s="93" t="s">
        <v>31</v>
      </c>
      <c r="D204" s="93" t="s">
        <v>31</v>
      </c>
      <c r="E204" s="93" t="s">
        <v>31</v>
      </c>
      <c r="F204" s="93" t="s">
        <v>31</v>
      </c>
      <c r="G204" s="93" t="s">
        <v>31</v>
      </c>
      <c r="H204" s="93" t="s">
        <v>31</v>
      </c>
      <c r="I204" s="93" t="s">
        <v>31</v>
      </c>
      <c r="J204" s="93" t="s">
        <v>31</v>
      </c>
      <c r="K204" s="93" t="s">
        <v>31</v>
      </c>
      <c r="L204" s="93" t="s">
        <v>31</v>
      </c>
      <c r="M204" s="93" t="s">
        <v>31</v>
      </c>
      <c r="N204" s="93" t="s">
        <v>31</v>
      </c>
      <c r="O204" s="93" t="s">
        <v>31</v>
      </c>
      <c r="P204" s="93" t="s">
        <v>31</v>
      </c>
      <c r="Q204" s="93" t="s">
        <v>31</v>
      </c>
      <c r="R204" s="93" t="s">
        <v>31</v>
      </c>
      <c r="S204" s="93" t="s">
        <v>31</v>
      </c>
      <c r="T204" s="93" t="s">
        <v>31</v>
      </c>
      <c r="U204" s="93" t="s">
        <v>31</v>
      </c>
      <c r="V204" s="93" t="s">
        <v>31</v>
      </c>
      <c r="W204" s="93" t="s">
        <v>31</v>
      </c>
      <c r="X204" s="93" t="s">
        <v>31</v>
      </c>
      <c r="Y204" s="93" t="s">
        <v>31</v>
      </c>
      <c r="Z204" s="93" t="s">
        <v>31</v>
      </c>
      <c r="AA204" s="93" t="s">
        <v>31</v>
      </c>
      <c r="AB204" s="93" t="s">
        <v>31</v>
      </c>
      <c r="AC204" s="93" t="s">
        <v>31</v>
      </c>
      <c r="AD204" s="93" t="s">
        <v>31</v>
      </c>
      <c r="AE204" s="93" t="s">
        <v>31</v>
      </c>
      <c r="AF204" s="93" t="s">
        <v>31</v>
      </c>
      <c r="AG204" s="99">
        <v>5.8999999999999997E-2</v>
      </c>
      <c r="AH204" s="93" t="s">
        <v>31</v>
      </c>
      <c r="AI204" s="93" t="s">
        <v>31</v>
      </c>
      <c r="AJ204" s="93" t="s">
        <v>31</v>
      </c>
      <c r="AK204" s="93" t="s">
        <v>31</v>
      </c>
      <c r="AL204" s="93" t="s">
        <v>31</v>
      </c>
      <c r="AM204" s="93" t="s">
        <v>31</v>
      </c>
      <c r="AN204" s="96">
        <v>5.2999999999999999E-2</v>
      </c>
      <c r="AO204" s="93" t="s">
        <v>31</v>
      </c>
      <c r="AP204" s="93" t="s">
        <v>31</v>
      </c>
      <c r="AQ204" s="93" t="s">
        <v>31</v>
      </c>
      <c r="AR204" s="93" t="s">
        <v>31</v>
      </c>
      <c r="AS204" s="93" t="s">
        <v>31</v>
      </c>
      <c r="AT204" s="93" t="s">
        <v>31</v>
      </c>
      <c r="AU204" s="93" t="s">
        <v>31</v>
      </c>
      <c r="AV204" s="93" t="s">
        <v>31</v>
      </c>
      <c r="AW204" s="93" t="s">
        <v>31</v>
      </c>
      <c r="AX204" s="93" t="s">
        <v>31</v>
      </c>
      <c r="AY204" s="93" t="s">
        <v>31</v>
      </c>
      <c r="AZ204" s="93" t="s">
        <v>31</v>
      </c>
      <c r="BA204" s="93" t="s">
        <v>31</v>
      </c>
    </row>
    <row r="205" spans="1:53" x14ac:dyDescent="0.2">
      <c r="A205" s="77">
        <v>53</v>
      </c>
      <c r="B205" s="93" t="s">
        <v>31</v>
      </c>
      <c r="C205" s="93" t="s">
        <v>31</v>
      </c>
      <c r="D205" s="93" t="s">
        <v>31</v>
      </c>
      <c r="E205" s="93" t="s">
        <v>31</v>
      </c>
      <c r="F205" s="93" t="s">
        <v>31</v>
      </c>
      <c r="G205" s="93" t="s">
        <v>31</v>
      </c>
      <c r="H205" s="93" t="s">
        <v>31</v>
      </c>
      <c r="I205" s="93" t="s">
        <v>31</v>
      </c>
      <c r="J205" s="93" t="s">
        <v>31</v>
      </c>
      <c r="K205" s="93" t="s">
        <v>31</v>
      </c>
      <c r="L205" s="93" t="s">
        <v>31</v>
      </c>
      <c r="M205" s="93" t="s">
        <v>31</v>
      </c>
      <c r="N205" s="93" t="s">
        <v>31</v>
      </c>
      <c r="O205" s="93" t="s">
        <v>31</v>
      </c>
      <c r="P205" s="93" t="s">
        <v>31</v>
      </c>
      <c r="Q205" s="93" t="s">
        <v>31</v>
      </c>
      <c r="R205" s="93" t="s">
        <v>31</v>
      </c>
      <c r="S205" s="93" t="s">
        <v>31</v>
      </c>
      <c r="T205" s="93" t="s">
        <v>31</v>
      </c>
      <c r="U205" s="93" t="s">
        <v>31</v>
      </c>
      <c r="V205" s="93" t="s">
        <v>31</v>
      </c>
      <c r="W205" s="93" t="s">
        <v>31</v>
      </c>
      <c r="X205" s="93" t="s">
        <v>31</v>
      </c>
      <c r="Y205" s="93" t="s">
        <v>31</v>
      </c>
      <c r="Z205" s="93" t="s">
        <v>31</v>
      </c>
      <c r="AA205" s="93" t="s">
        <v>31</v>
      </c>
      <c r="AB205" s="93" t="s">
        <v>31</v>
      </c>
      <c r="AC205" s="93" t="s">
        <v>31</v>
      </c>
      <c r="AD205" s="93" t="s">
        <v>31</v>
      </c>
      <c r="AE205" s="93" t="s">
        <v>31</v>
      </c>
      <c r="AF205" s="93" t="s">
        <v>31</v>
      </c>
      <c r="AG205" s="99">
        <v>5.8999999999999997E-2</v>
      </c>
      <c r="AH205" s="93" t="s">
        <v>31</v>
      </c>
      <c r="AI205" s="93" t="s">
        <v>31</v>
      </c>
      <c r="AJ205" s="93" t="s">
        <v>31</v>
      </c>
      <c r="AK205" s="93" t="s">
        <v>31</v>
      </c>
      <c r="AL205" s="93" t="s">
        <v>31</v>
      </c>
      <c r="AM205" s="93" t="s">
        <v>31</v>
      </c>
      <c r="AN205" s="96">
        <v>5.2999999999999999E-2</v>
      </c>
      <c r="AO205" s="93" t="s">
        <v>31</v>
      </c>
      <c r="AP205" s="93" t="s">
        <v>31</v>
      </c>
      <c r="AQ205" s="93" t="s">
        <v>31</v>
      </c>
      <c r="AR205" s="93" t="s">
        <v>31</v>
      </c>
      <c r="AS205" s="93" t="s">
        <v>31</v>
      </c>
      <c r="AT205" s="93" t="s">
        <v>31</v>
      </c>
      <c r="AU205" s="93" t="s">
        <v>31</v>
      </c>
      <c r="AV205" s="93" t="s">
        <v>31</v>
      </c>
      <c r="AW205" s="93" t="s">
        <v>31</v>
      </c>
      <c r="AX205" s="93" t="s">
        <v>31</v>
      </c>
      <c r="AY205" s="93" t="s">
        <v>31</v>
      </c>
      <c r="AZ205" s="93" t="s">
        <v>31</v>
      </c>
      <c r="BA205" s="93" t="s">
        <v>31</v>
      </c>
    </row>
    <row r="206" spans="1:53" x14ac:dyDescent="0.2">
      <c r="A206" s="77">
        <v>54</v>
      </c>
      <c r="B206" s="93" t="s">
        <v>31</v>
      </c>
      <c r="C206" s="93" t="s">
        <v>31</v>
      </c>
      <c r="D206" s="93" t="s">
        <v>31</v>
      </c>
      <c r="E206" s="93" t="s">
        <v>31</v>
      </c>
      <c r="F206" s="93" t="s">
        <v>31</v>
      </c>
      <c r="G206" s="93" t="s">
        <v>31</v>
      </c>
      <c r="H206" s="93" t="s">
        <v>31</v>
      </c>
      <c r="I206" s="93" t="s">
        <v>31</v>
      </c>
      <c r="J206" s="93" t="s">
        <v>31</v>
      </c>
      <c r="K206" s="93" t="s">
        <v>31</v>
      </c>
      <c r="L206" s="93" t="s">
        <v>31</v>
      </c>
      <c r="M206" s="93" t="s">
        <v>31</v>
      </c>
      <c r="N206" s="93" t="s">
        <v>31</v>
      </c>
      <c r="O206" s="93" t="s">
        <v>31</v>
      </c>
      <c r="P206" s="93" t="s">
        <v>31</v>
      </c>
      <c r="Q206" s="93" t="s">
        <v>31</v>
      </c>
      <c r="R206" s="93" t="s">
        <v>31</v>
      </c>
      <c r="S206" s="93" t="s">
        <v>31</v>
      </c>
      <c r="T206" s="93" t="s">
        <v>31</v>
      </c>
      <c r="U206" s="93" t="s">
        <v>31</v>
      </c>
      <c r="V206" s="93" t="s">
        <v>31</v>
      </c>
      <c r="W206" s="93" t="s">
        <v>31</v>
      </c>
      <c r="X206" s="93" t="s">
        <v>31</v>
      </c>
      <c r="Y206" s="93" t="s">
        <v>31</v>
      </c>
      <c r="Z206" s="93" t="s">
        <v>31</v>
      </c>
      <c r="AA206" s="93" t="s">
        <v>31</v>
      </c>
      <c r="AB206" s="93" t="s">
        <v>31</v>
      </c>
      <c r="AC206" s="93" t="s">
        <v>31</v>
      </c>
      <c r="AD206" s="93" t="s">
        <v>31</v>
      </c>
      <c r="AE206" s="93" t="s">
        <v>31</v>
      </c>
      <c r="AF206" s="93" t="s">
        <v>31</v>
      </c>
      <c r="AG206" s="99">
        <v>5.8999999999999997E-2</v>
      </c>
      <c r="AH206" s="93" t="s">
        <v>31</v>
      </c>
      <c r="AI206" s="93" t="s">
        <v>31</v>
      </c>
      <c r="AJ206" s="93" t="s">
        <v>31</v>
      </c>
      <c r="AK206" s="93" t="s">
        <v>31</v>
      </c>
      <c r="AL206" s="93" t="s">
        <v>31</v>
      </c>
      <c r="AM206" s="93" t="s">
        <v>31</v>
      </c>
      <c r="AN206" s="96">
        <v>5.2999999999999999E-2</v>
      </c>
      <c r="AO206" s="93" t="s">
        <v>31</v>
      </c>
      <c r="AP206" s="93" t="s">
        <v>31</v>
      </c>
      <c r="AQ206" s="93" t="s">
        <v>31</v>
      </c>
      <c r="AR206" s="93" t="s">
        <v>31</v>
      </c>
      <c r="AS206" s="93" t="s">
        <v>31</v>
      </c>
      <c r="AT206" s="93" t="s">
        <v>31</v>
      </c>
      <c r="AU206" s="93" t="s">
        <v>31</v>
      </c>
      <c r="AV206" s="93" t="s">
        <v>31</v>
      </c>
      <c r="AW206" s="93" t="s">
        <v>31</v>
      </c>
      <c r="AX206" s="93" t="s">
        <v>31</v>
      </c>
      <c r="AY206" s="93" t="s">
        <v>31</v>
      </c>
      <c r="AZ206" s="93" t="s">
        <v>31</v>
      </c>
      <c r="BA206" s="93" t="s">
        <v>31</v>
      </c>
    </row>
    <row r="207" spans="1:53" x14ac:dyDescent="0.2">
      <c r="A207" s="77">
        <v>55</v>
      </c>
      <c r="B207" s="93" t="s">
        <v>31</v>
      </c>
      <c r="C207" s="93" t="s">
        <v>31</v>
      </c>
      <c r="D207" s="93" t="s">
        <v>31</v>
      </c>
      <c r="E207" s="93" t="s">
        <v>31</v>
      </c>
      <c r="F207" s="93" t="s">
        <v>31</v>
      </c>
      <c r="G207" s="93" t="s">
        <v>31</v>
      </c>
      <c r="H207" s="93" t="s">
        <v>31</v>
      </c>
      <c r="I207" s="93" t="s">
        <v>31</v>
      </c>
      <c r="J207" s="93" t="s">
        <v>31</v>
      </c>
      <c r="K207" s="93" t="s">
        <v>31</v>
      </c>
      <c r="L207" s="93" t="s">
        <v>31</v>
      </c>
      <c r="M207" s="93" t="s">
        <v>31</v>
      </c>
      <c r="N207" s="93" t="s">
        <v>31</v>
      </c>
      <c r="O207" s="93" t="s">
        <v>31</v>
      </c>
      <c r="P207" s="93" t="s">
        <v>31</v>
      </c>
      <c r="Q207" s="93" t="s">
        <v>31</v>
      </c>
      <c r="R207" s="93" t="s">
        <v>31</v>
      </c>
      <c r="S207" s="93" t="s">
        <v>31</v>
      </c>
      <c r="T207" s="93" t="s">
        <v>31</v>
      </c>
      <c r="U207" s="93" t="s">
        <v>31</v>
      </c>
      <c r="V207" s="93" t="s">
        <v>31</v>
      </c>
      <c r="W207" s="93" t="s">
        <v>31</v>
      </c>
      <c r="X207" s="93" t="s">
        <v>31</v>
      </c>
      <c r="Y207" s="93" t="s">
        <v>31</v>
      </c>
      <c r="Z207" s="93" t="s">
        <v>31</v>
      </c>
      <c r="AA207" s="93" t="s">
        <v>31</v>
      </c>
      <c r="AB207" s="93" t="s">
        <v>31</v>
      </c>
      <c r="AC207" s="93" t="s">
        <v>31</v>
      </c>
      <c r="AD207" s="93" t="s">
        <v>31</v>
      </c>
      <c r="AE207" s="93" t="s">
        <v>31</v>
      </c>
      <c r="AF207" s="93" t="s">
        <v>31</v>
      </c>
      <c r="AG207" s="99">
        <v>4.5999999999999999E-2</v>
      </c>
      <c r="AH207" s="93" t="s">
        <v>31</v>
      </c>
      <c r="AI207" s="93" t="s">
        <v>31</v>
      </c>
      <c r="AJ207" s="93" t="s">
        <v>31</v>
      </c>
      <c r="AK207" s="93" t="s">
        <v>31</v>
      </c>
      <c r="AL207" s="93" t="s">
        <v>31</v>
      </c>
      <c r="AM207" s="93" t="s">
        <v>31</v>
      </c>
      <c r="AN207" s="96">
        <v>5.2999999999999999E-2</v>
      </c>
      <c r="AO207" s="93" t="s">
        <v>31</v>
      </c>
      <c r="AP207" s="93" t="s">
        <v>31</v>
      </c>
      <c r="AQ207" s="93" t="s">
        <v>31</v>
      </c>
      <c r="AR207" s="93" t="s">
        <v>31</v>
      </c>
      <c r="AS207" s="93" t="s">
        <v>31</v>
      </c>
      <c r="AT207" s="93" t="s">
        <v>31</v>
      </c>
      <c r="AU207" s="93" t="s">
        <v>31</v>
      </c>
      <c r="AV207" s="93" t="s">
        <v>31</v>
      </c>
      <c r="AW207" s="93" t="s">
        <v>31</v>
      </c>
      <c r="AX207" s="93" t="s">
        <v>31</v>
      </c>
      <c r="AY207" s="93" t="s">
        <v>31</v>
      </c>
      <c r="AZ207" s="93" t="s">
        <v>31</v>
      </c>
      <c r="BA207" s="93" t="s">
        <v>31</v>
      </c>
    </row>
    <row r="208" spans="1:53" x14ac:dyDescent="0.2">
      <c r="A208" s="77">
        <v>56</v>
      </c>
      <c r="B208" s="93" t="s">
        <v>31</v>
      </c>
      <c r="C208" s="93" t="s">
        <v>31</v>
      </c>
      <c r="D208" s="93" t="s">
        <v>31</v>
      </c>
      <c r="E208" s="93" t="s">
        <v>31</v>
      </c>
      <c r="F208" s="93" t="s">
        <v>31</v>
      </c>
      <c r="G208" s="93" t="s">
        <v>31</v>
      </c>
      <c r="H208" s="93" t="s">
        <v>31</v>
      </c>
      <c r="I208" s="93" t="s">
        <v>31</v>
      </c>
      <c r="J208" s="93" t="s">
        <v>31</v>
      </c>
      <c r="K208" s="93" t="s">
        <v>31</v>
      </c>
      <c r="L208" s="93" t="s">
        <v>31</v>
      </c>
      <c r="M208" s="93" t="s">
        <v>31</v>
      </c>
      <c r="N208" s="93" t="s">
        <v>31</v>
      </c>
      <c r="O208" s="93" t="s">
        <v>31</v>
      </c>
      <c r="P208" s="93" t="s">
        <v>31</v>
      </c>
      <c r="Q208" s="93" t="s">
        <v>31</v>
      </c>
      <c r="R208" s="93" t="s">
        <v>31</v>
      </c>
      <c r="S208" s="93" t="s">
        <v>31</v>
      </c>
      <c r="T208" s="93" t="s">
        <v>31</v>
      </c>
      <c r="U208" s="93" t="s">
        <v>31</v>
      </c>
      <c r="V208" s="93" t="s">
        <v>31</v>
      </c>
      <c r="W208" s="93" t="s">
        <v>31</v>
      </c>
      <c r="X208" s="93" t="s">
        <v>31</v>
      </c>
      <c r="Y208" s="93" t="s">
        <v>31</v>
      </c>
      <c r="Z208" s="93" t="s">
        <v>31</v>
      </c>
      <c r="AA208" s="93" t="s">
        <v>31</v>
      </c>
      <c r="AB208" s="93" t="s">
        <v>31</v>
      </c>
      <c r="AC208" s="93" t="s">
        <v>31</v>
      </c>
      <c r="AD208" s="93" t="s">
        <v>31</v>
      </c>
      <c r="AE208" s="93" t="s">
        <v>31</v>
      </c>
      <c r="AF208" s="93" t="s">
        <v>31</v>
      </c>
      <c r="AG208" s="99">
        <v>6.0999999999999999E-2</v>
      </c>
      <c r="AH208" s="93" t="s">
        <v>31</v>
      </c>
      <c r="AI208" s="93" t="s">
        <v>31</v>
      </c>
      <c r="AJ208" s="93" t="s">
        <v>31</v>
      </c>
      <c r="AK208" s="93" t="s">
        <v>31</v>
      </c>
      <c r="AL208" s="93" t="s">
        <v>31</v>
      </c>
      <c r="AM208" s="93" t="s">
        <v>31</v>
      </c>
      <c r="AN208" s="96">
        <v>5.2999999999999999E-2</v>
      </c>
      <c r="AO208" s="93" t="s">
        <v>31</v>
      </c>
      <c r="AP208" s="93" t="s">
        <v>31</v>
      </c>
      <c r="AQ208" s="93" t="s">
        <v>31</v>
      </c>
      <c r="AR208" s="93" t="s">
        <v>31</v>
      </c>
      <c r="AS208" s="93" t="s">
        <v>31</v>
      </c>
      <c r="AT208" s="93" t="s">
        <v>31</v>
      </c>
      <c r="AU208" s="93" t="s">
        <v>31</v>
      </c>
      <c r="AV208" s="93" t="s">
        <v>31</v>
      </c>
      <c r="AW208" s="93" t="s">
        <v>31</v>
      </c>
      <c r="AX208" s="93" t="s">
        <v>31</v>
      </c>
      <c r="AY208" s="93" t="s">
        <v>31</v>
      </c>
      <c r="AZ208" s="93" t="s">
        <v>31</v>
      </c>
      <c r="BA208" s="93" t="s">
        <v>31</v>
      </c>
    </row>
    <row r="209" spans="1:53" x14ac:dyDescent="0.2">
      <c r="A209" s="77">
        <v>57</v>
      </c>
      <c r="B209" s="93" t="s">
        <v>31</v>
      </c>
      <c r="C209" s="93" t="s">
        <v>31</v>
      </c>
      <c r="D209" s="93" t="s">
        <v>31</v>
      </c>
      <c r="E209" s="93" t="s">
        <v>31</v>
      </c>
      <c r="F209" s="93" t="s">
        <v>31</v>
      </c>
      <c r="G209" s="93" t="s">
        <v>31</v>
      </c>
      <c r="H209" s="93" t="s">
        <v>31</v>
      </c>
      <c r="I209" s="93" t="s">
        <v>31</v>
      </c>
      <c r="J209" s="93" t="s">
        <v>31</v>
      </c>
      <c r="K209" s="93" t="s">
        <v>31</v>
      </c>
      <c r="L209" s="93" t="s">
        <v>31</v>
      </c>
      <c r="M209" s="93" t="s">
        <v>31</v>
      </c>
      <c r="N209" s="93" t="s">
        <v>31</v>
      </c>
      <c r="O209" s="93" t="s">
        <v>31</v>
      </c>
      <c r="P209" s="93" t="s">
        <v>31</v>
      </c>
      <c r="Q209" s="93" t="s">
        <v>31</v>
      </c>
      <c r="R209" s="93" t="s">
        <v>31</v>
      </c>
      <c r="S209" s="93" t="s">
        <v>31</v>
      </c>
      <c r="T209" s="93" t="s">
        <v>31</v>
      </c>
      <c r="U209" s="93" t="s">
        <v>31</v>
      </c>
      <c r="V209" s="93" t="s">
        <v>31</v>
      </c>
      <c r="W209" s="93" t="s">
        <v>31</v>
      </c>
      <c r="X209" s="93" t="s">
        <v>31</v>
      </c>
      <c r="Y209" s="93" t="s">
        <v>31</v>
      </c>
      <c r="Z209" s="93" t="s">
        <v>31</v>
      </c>
      <c r="AA209" s="93" t="s">
        <v>31</v>
      </c>
      <c r="AB209" s="93" t="s">
        <v>31</v>
      </c>
      <c r="AC209" s="93" t="s">
        <v>31</v>
      </c>
      <c r="AD209" s="93" t="s">
        <v>31</v>
      </c>
      <c r="AE209" s="93" t="s">
        <v>31</v>
      </c>
      <c r="AF209" s="93" t="s">
        <v>31</v>
      </c>
      <c r="AG209" s="99">
        <v>6.2E-2</v>
      </c>
      <c r="AH209" s="93" t="s">
        <v>31</v>
      </c>
      <c r="AI209" s="93" t="s">
        <v>31</v>
      </c>
      <c r="AJ209" s="93" t="s">
        <v>31</v>
      </c>
      <c r="AK209" s="93" t="s">
        <v>31</v>
      </c>
      <c r="AL209" s="93" t="s">
        <v>31</v>
      </c>
      <c r="AM209" s="93" t="s">
        <v>31</v>
      </c>
      <c r="AN209" s="96">
        <v>5.2999999999999999E-2</v>
      </c>
      <c r="AO209" s="93" t="s">
        <v>31</v>
      </c>
      <c r="AP209" s="93" t="s">
        <v>31</v>
      </c>
      <c r="AQ209" s="93" t="s">
        <v>31</v>
      </c>
      <c r="AR209" s="93" t="s">
        <v>31</v>
      </c>
      <c r="AS209" s="93" t="s">
        <v>31</v>
      </c>
      <c r="AT209" s="93" t="s">
        <v>31</v>
      </c>
      <c r="AU209" s="93" t="s">
        <v>31</v>
      </c>
      <c r="AV209" s="93" t="s">
        <v>31</v>
      </c>
      <c r="AW209" s="93" t="s">
        <v>31</v>
      </c>
      <c r="AX209" s="93" t="s">
        <v>31</v>
      </c>
      <c r="AY209" s="93" t="s">
        <v>31</v>
      </c>
      <c r="AZ209" s="93" t="s">
        <v>31</v>
      </c>
      <c r="BA209" s="93" t="s">
        <v>31</v>
      </c>
    </row>
    <row r="210" spans="1:53" x14ac:dyDescent="0.2">
      <c r="A210" s="77">
        <v>58</v>
      </c>
      <c r="B210" s="93" t="s">
        <v>31</v>
      </c>
      <c r="C210" s="93" t="s">
        <v>31</v>
      </c>
      <c r="D210" s="93" t="s">
        <v>31</v>
      </c>
      <c r="E210" s="93" t="s">
        <v>31</v>
      </c>
      <c r="F210" s="93" t="s">
        <v>31</v>
      </c>
      <c r="G210" s="93" t="s">
        <v>31</v>
      </c>
      <c r="H210" s="93" t="s">
        <v>31</v>
      </c>
      <c r="I210" s="93" t="s">
        <v>31</v>
      </c>
      <c r="J210" s="93" t="s">
        <v>31</v>
      </c>
      <c r="K210" s="93" t="s">
        <v>31</v>
      </c>
      <c r="L210" s="93" t="s">
        <v>31</v>
      </c>
      <c r="M210" s="93" t="s">
        <v>31</v>
      </c>
      <c r="N210" s="93" t="s">
        <v>31</v>
      </c>
      <c r="O210" s="93" t="s">
        <v>31</v>
      </c>
      <c r="P210" s="93" t="s">
        <v>31</v>
      </c>
      <c r="Q210" s="93" t="s">
        <v>31</v>
      </c>
      <c r="R210" s="93" t="s">
        <v>31</v>
      </c>
      <c r="S210" s="93" t="s">
        <v>31</v>
      </c>
      <c r="T210" s="93" t="s">
        <v>31</v>
      </c>
      <c r="U210" s="93" t="s">
        <v>31</v>
      </c>
      <c r="V210" s="93" t="s">
        <v>31</v>
      </c>
      <c r="W210" s="93" t="s">
        <v>31</v>
      </c>
      <c r="X210" s="93" t="s">
        <v>31</v>
      </c>
      <c r="Y210" s="93" t="s">
        <v>31</v>
      </c>
      <c r="Z210" s="93" t="s">
        <v>31</v>
      </c>
      <c r="AA210" s="93" t="s">
        <v>31</v>
      </c>
      <c r="AB210" s="93" t="s">
        <v>31</v>
      </c>
      <c r="AC210" s="93" t="s">
        <v>31</v>
      </c>
      <c r="AD210" s="93" t="s">
        <v>31</v>
      </c>
      <c r="AE210" s="93" t="s">
        <v>31</v>
      </c>
      <c r="AF210" s="93" t="s">
        <v>31</v>
      </c>
      <c r="AG210" s="99">
        <v>6.2E-2</v>
      </c>
      <c r="AH210" s="93" t="s">
        <v>31</v>
      </c>
      <c r="AI210" s="93" t="s">
        <v>31</v>
      </c>
      <c r="AJ210" s="93" t="s">
        <v>31</v>
      </c>
      <c r="AK210" s="93" t="s">
        <v>31</v>
      </c>
      <c r="AL210" s="93" t="s">
        <v>31</v>
      </c>
      <c r="AM210" s="93" t="s">
        <v>31</v>
      </c>
      <c r="AN210" s="96">
        <v>5.2999999999999999E-2</v>
      </c>
      <c r="AO210" s="93" t="s">
        <v>31</v>
      </c>
      <c r="AP210" s="93" t="s">
        <v>31</v>
      </c>
      <c r="AQ210" s="93" t="s">
        <v>31</v>
      </c>
      <c r="AR210" s="93" t="s">
        <v>31</v>
      </c>
      <c r="AS210" s="93" t="s">
        <v>31</v>
      </c>
      <c r="AT210" s="93" t="s">
        <v>31</v>
      </c>
      <c r="AU210" s="93" t="s">
        <v>31</v>
      </c>
      <c r="AV210" s="93" t="s">
        <v>31</v>
      </c>
      <c r="AW210" s="93" t="s">
        <v>31</v>
      </c>
      <c r="AX210" s="93" t="s">
        <v>31</v>
      </c>
      <c r="AY210" s="93" t="s">
        <v>31</v>
      </c>
      <c r="AZ210" s="93" t="s">
        <v>31</v>
      </c>
      <c r="BA210" s="93" t="s">
        <v>31</v>
      </c>
    </row>
    <row r="211" spans="1:53" x14ac:dyDescent="0.2">
      <c r="A211" s="77">
        <v>59</v>
      </c>
      <c r="B211" s="93" t="s">
        <v>31</v>
      </c>
      <c r="C211" s="93" t="s">
        <v>31</v>
      </c>
      <c r="D211" s="93" t="s">
        <v>31</v>
      </c>
      <c r="E211" s="93" t="s">
        <v>31</v>
      </c>
      <c r="F211" s="93" t="s">
        <v>31</v>
      </c>
      <c r="G211" s="93" t="s">
        <v>31</v>
      </c>
      <c r="H211" s="93" t="s">
        <v>31</v>
      </c>
      <c r="I211" s="93" t="s">
        <v>31</v>
      </c>
      <c r="J211" s="93" t="s">
        <v>31</v>
      </c>
      <c r="K211" s="93" t="s">
        <v>31</v>
      </c>
      <c r="L211" s="93" t="s">
        <v>31</v>
      </c>
      <c r="M211" s="93" t="s">
        <v>31</v>
      </c>
      <c r="N211" s="93" t="s">
        <v>31</v>
      </c>
      <c r="O211" s="93" t="s">
        <v>31</v>
      </c>
      <c r="P211" s="93" t="s">
        <v>31</v>
      </c>
      <c r="Q211" s="93" t="s">
        <v>31</v>
      </c>
      <c r="R211" s="93" t="s">
        <v>31</v>
      </c>
      <c r="S211" s="93" t="s">
        <v>31</v>
      </c>
      <c r="T211" s="93" t="s">
        <v>31</v>
      </c>
      <c r="U211" s="93" t="s">
        <v>31</v>
      </c>
      <c r="V211" s="93" t="s">
        <v>31</v>
      </c>
      <c r="W211" s="93" t="s">
        <v>31</v>
      </c>
      <c r="X211" s="93" t="s">
        <v>31</v>
      </c>
      <c r="Y211" s="93" t="s">
        <v>31</v>
      </c>
      <c r="Z211" s="93" t="s">
        <v>31</v>
      </c>
      <c r="AA211" s="93" t="s">
        <v>31</v>
      </c>
      <c r="AB211" s="93" t="s">
        <v>31</v>
      </c>
      <c r="AC211" s="93" t="s">
        <v>31</v>
      </c>
      <c r="AD211" s="93" t="s">
        <v>31</v>
      </c>
      <c r="AE211" s="93" t="s">
        <v>31</v>
      </c>
      <c r="AF211" s="93" t="s">
        <v>31</v>
      </c>
      <c r="AG211" s="99">
        <v>6.2E-2</v>
      </c>
      <c r="AH211" s="93" t="s">
        <v>31</v>
      </c>
      <c r="AI211" s="93" t="s">
        <v>31</v>
      </c>
      <c r="AJ211" s="93" t="s">
        <v>31</v>
      </c>
      <c r="AK211" s="93" t="s">
        <v>31</v>
      </c>
      <c r="AL211" s="93" t="s">
        <v>31</v>
      </c>
      <c r="AM211" s="93" t="s">
        <v>31</v>
      </c>
      <c r="AN211" s="96">
        <v>5.2999999999999999E-2</v>
      </c>
      <c r="AO211" s="93" t="s">
        <v>31</v>
      </c>
      <c r="AP211" s="93" t="s">
        <v>31</v>
      </c>
      <c r="AQ211" s="93" t="s">
        <v>31</v>
      </c>
      <c r="AR211" s="93" t="s">
        <v>31</v>
      </c>
      <c r="AS211" s="93" t="s">
        <v>31</v>
      </c>
      <c r="AT211" s="93" t="s">
        <v>31</v>
      </c>
      <c r="AU211" s="93" t="s">
        <v>31</v>
      </c>
      <c r="AV211" s="93" t="s">
        <v>31</v>
      </c>
      <c r="AW211" s="93" t="s">
        <v>31</v>
      </c>
      <c r="AX211" s="93" t="s">
        <v>31</v>
      </c>
      <c r="AY211" s="93" t="s">
        <v>31</v>
      </c>
      <c r="AZ211" s="93" t="s">
        <v>31</v>
      </c>
      <c r="BA211" s="93" t="s">
        <v>31</v>
      </c>
    </row>
    <row r="212" spans="1:53" x14ac:dyDescent="0.2">
      <c r="A212" s="77">
        <v>60</v>
      </c>
      <c r="B212" s="93" t="s">
        <v>31</v>
      </c>
      <c r="C212" s="93" t="s">
        <v>31</v>
      </c>
      <c r="D212" s="93" t="s">
        <v>31</v>
      </c>
      <c r="E212" s="93" t="s">
        <v>31</v>
      </c>
      <c r="F212" s="93" t="s">
        <v>31</v>
      </c>
      <c r="G212" s="93" t="s">
        <v>31</v>
      </c>
      <c r="H212" s="93" t="s">
        <v>31</v>
      </c>
      <c r="I212" s="93" t="s">
        <v>31</v>
      </c>
      <c r="J212" s="93" t="s">
        <v>31</v>
      </c>
      <c r="K212" s="93" t="s">
        <v>31</v>
      </c>
      <c r="L212" s="93" t="s">
        <v>31</v>
      </c>
      <c r="M212" s="93" t="s">
        <v>31</v>
      </c>
      <c r="N212" s="93" t="s">
        <v>31</v>
      </c>
      <c r="O212" s="93" t="s">
        <v>31</v>
      </c>
      <c r="P212" s="93" t="s">
        <v>31</v>
      </c>
      <c r="Q212" s="93" t="s">
        <v>31</v>
      </c>
      <c r="R212" s="93" t="s">
        <v>31</v>
      </c>
      <c r="S212" s="93" t="s">
        <v>31</v>
      </c>
      <c r="T212" s="93" t="s">
        <v>31</v>
      </c>
      <c r="U212" s="93" t="s">
        <v>31</v>
      </c>
      <c r="V212" s="93" t="s">
        <v>31</v>
      </c>
      <c r="W212" s="93" t="s">
        <v>31</v>
      </c>
      <c r="X212" s="93" t="s">
        <v>31</v>
      </c>
      <c r="Y212" s="93" t="s">
        <v>31</v>
      </c>
      <c r="Z212" s="93" t="s">
        <v>31</v>
      </c>
      <c r="AA212" s="93" t="s">
        <v>31</v>
      </c>
      <c r="AB212" s="93" t="s">
        <v>31</v>
      </c>
      <c r="AC212" s="93" t="s">
        <v>31</v>
      </c>
      <c r="AD212" s="93" t="s">
        <v>31</v>
      </c>
      <c r="AE212" s="93" t="s">
        <v>31</v>
      </c>
      <c r="AF212" s="93" t="s">
        <v>31</v>
      </c>
      <c r="AG212" s="99">
        <v>4.7E-2</v>
      </c>
      <c r="AH212" s="93" t="s">
        <v>31</v>
      </c>
      <c r="AI212" s="153">
        <v>6.4000000000000001E-2</v>
      </c>
      <c r="AJ212" s="153">
        <v>6.4000000000000001E-2</v>
      </c>
      <c r="AK212" s="93" t="s">
        <v>31</v>
      </c>
      <c r="AL212" s="93" t="s">
        <v>31</v>
      </c>
      <c r="AM212" s="93" t="s">
        <v>31</v>
      </c>
      <c r="AN212" s="96">
        <v>5.2999999999999999E-2</v>
      </c>
      <c r="AO212" s="93" t="s">
        <v>31</v>
      </c>
      <c r="AP212" s="93" t="s">
        <v>31</v>
      </c>
      <c r="AQ212" s="93" t="s">
        <v>31</v>
      </c>
      <c r="AR212" s="93" t="s">
        <v>31</v>
      </c>
      <c r="AS212" s="93" t="s">
        <v>31</v>
      </c>
      <c r="AT212" s="93" t="s">
        <v>31</v>
      </c>
      <c r="AU212" s="93" t="s">
        <v>31</v>
      </c>
      <c r="AV212" s="93" t="s">
        <v>31</v>
      </c>
      <c r="AW212" s="93" t="s">
        <v>31</v>
      </c>
      <c r="AX212" s="93" t="s">
        <v>31</v>
      </c>
      <c r="AY212" s="93" t="s">
        <v>31</v>
      </c>
      <c r="AZ212" s="93" t="s">
        <v>31</v>
      </c>
      <c r="BA212" s="93" t="s">
        <v>31</v>
      </c>
    </row>
    <row r="213" spans="1:53" x14ac:dyDescent="0.2">
      <c r="A213" s="77">
        <v>61</v>
      </c>
      <c r="B213" s="93" t="s">
        <v>31</v>
      </c>
      <c r="C213" s="93" t="s">
        <v>31</v>
      </c>
      <c r="D213" s="93" t="s">
        <v>31</v>
      </c>
      <c r="E213" s="93" t="s">
        <v>31</v>
      </c>
      <c r="F213" s="93" t="s">
        <v>31</v>
      </c>
      <c r="G213" s="93" t="s">
        <v>31</v>
      </c>
      <c r="H213" s="93" t="s">
        <v>31</v>
      </c>
      <c r="I213" s="93" t="s">
        <v>31</v>
      </c>
      <c r="J213" s="93" t="s">
        <v>31</v>
      </c>
      <c r="K213" s="93" t="s">
        <v>31</v>
      </c>
      <c r="L213" s="93" t="s">
        <v>31</v>
      </c>
      <c r="M213" s="93" t="s">
        <v>31</v>
      </c>
      <c r="N213" s="93" t="s">
        <v>31</v>
      </c>
      <c r="O213" s="93" t="s">
        <v>31</v>
      </c>
      <c r="P213" s="93" t="s">
        <v>31</v>
      </c>
      <c r="Q213" s="93" t="s">
        <v>31</v>
      </c>
      <c r="R213" s="93" t="s">
        <v>31</v>
      </c>
      <c r="S213" s="93" t="s">
        <v>31</v>
      </c>
      <c r="T213" s="93" t="s">
        <v>31</v>
      </c>
      <c r="U213" s="93" t="s">
        <v>31</v>
      </c>
      <c r="V213" s="93" t="s">
        <v>31</v>
      </c>
      <c r="W213" s="93" t="s">
        <v>31</v>
      </c>
      <c r="X213" s="93" t="s">
        <v>31</v>
      </c>
      <c r="Y213" s="93" t="s">
        <v>31</v>
      </c>
      <c r="Z213" s="93" t="s">
        <v>31</v>
      </c>
      <c r="AA213" s="93" t="s">
        <v>31</v>
      </c>
      <c r="AB213" s="93" t="s">
        <v>31</v>
      </c>
      <c r="AC213" s="93" t="s">
        <v>31</v>
      </c>
      <c r="AD213" s="93" t="s">
        <v>31</v>
      </c>
      <c r="AE213" s="93" t="s">
        <v>31</v>
      </c>
      <c r="AF213" s="93" t="s">
        <v>31</v>
      </c>
      <c r="AG213" s="99">
        <v>6.2E-2</v>
      </c>
      <c r="AH213" s="93" t="s">
        <v>31</v>
      </c>
      <c r="AI213" s="153">
        <v>6.4000000000000001E-2</v>
      </c>
      <c r="AJ213" s="153">
        <v>6.4000000000000001E-2</v>
      </c>
      <c r="AK213" s="93" t="s">
        <v>31</v>
      </c>
      <c r="AL213" s="93" t="s">
        <v>31</v>
      </c>
      <c r="AM213" s="93" t="s">
        <v>31</v>
      </c>
      <c r="AN213" s="96">
        <v>5.2999999999999999E-2</v>
      </c>
      <c r="AO213" s="93" t="s">
        <v>31</v>
      </c>
      <c r="AP213" s="93" t="s">
        <v>31</v>
      </c>
      <c r="AQ213" s="93" t="s">
        <v>31</v>
      </c>
      <c r="AR213" s="93" t="s">
        <v>31</v>
      </c>
      <c r="AS213" s="93" t="s">
        <v>31</v>
      </c>
      <c r="AT213" s="93" t="s">
        <v>31</v>
      </c>
      <c r="AU213" s="93" t="s">
        <v>31</v>
      </c>
      <c r="AV213" s="93" t="s">
        <v>31</v>
      </c>
      <c r="AW213" s="93" t="s">
        <v>31</v>
      </c>
      <c r="AX213" s="93" t="s">
        <v>31</v>
      </c>
      <c r="AY213" s="93" t="s">
        <v>31</v>
      </c>
      <c r="AZ213" s="93" t="s">
        <v>31</v>
      </c>
      <c r="BA213" s="93" t="s">
        <v>31</v>
      </c>
    </row>
    <row r="214" spans="1:53" x14ac:dyDescent="0.2">
      <c r="A214" s="77">
        <v>62</v>
      </c>
      <c r="B214" s="93" t="s">
        <v>31</v>
      </c>
      <c r="C214" s="93" t="s">
        <v>31</v>
      </c>
      <c r="D214" s="93" t="s">
        <v>31</v>
      </c>
      <c r="E214" s="93" t="s">
        <v>31</v>
      </c>
      <c r="F214" s="93" t="s">
        <v>31</v>
      </c>
      <c r="G214" s="93" t="s">
        <v>31</v>
      </c>
      <c r="H214" s="93" t="s">
        <v>31</v>
      </c>
      <c r="I214" s="93" t="s">
        <v>31</v>
      </c>
      <c r="J214" s="93" t="s">
        <v>31</v>
      </c>
      <c r="K214" s="93" t="s">
        <v>31</v>
      </c>
      <c r="L214" s="93" t="s">
        <v>31</v>
      </c>
      <c r="M214" s="93" t="s">
        <v>31</v>
      </c>
      <c r="N214" s="93" t="s">
        <v>31</v>
      </c>
      <c r="O214" s="93" t="s">
        <v>31</v>
      </c>
      <c r="P214" s="93" t="s">
        <v>31</v>
      </c>
      <c r="Q214" s="93" t="s">
        <v>31</v>
      </c>
      <c r="R214" s="93" t="s">
        <v>31</v>
      </c>
      <c r="S214" s="93" t="s">
        <v>31</v>
      </c>
      <c r="T214" s="93" t="s">
        <v>31</v>
      </c>
      <c r="U214" s="93" t="s">
        <v>31</v>
      </c>
      <c r="V214" s="93" t="s">
        <v>31</v>
      </c>
      <c r="W214" s="93" t="s">
        <v>31</v>
      </c>
      <c r="X214" s="93" t="s">
        <v>31</v>
      </c>
      <c r="Y214" s="93" t="s">
        <v>31</v>
      </c>
      <c r="Z214" s="93" t="s">
        <v>31</v>
      </c>
      <c r="AA214" s="93" t="s">
        <v>31</v>
      </c>
      <c r="AB214" s="93" t="s">
        <v>31</v>
      </c>
      <c r="AC214" s="93" t="s">
        <v>31</v>
      </c>
      <c r="AD214" s="93" t="s">
        <v>31</v>
      </c>
      <c r="AE214" s="93" t="s">
        <v>31</v>
      </c>
      <c r="AF214" s="93" t="s">
        <v>31</v>
      </c>
      <c r="AG214" s="99">
        <v>6.0999999999999999E-2</v>
      </c>
      <c r="AH214" s="93" t="s">
        <v>31</v>
      </c>
      <c r="AI214" s="153">
        <v>5.8000000000000003E-2</v>
      </c>
      <c r="AJ214" s="153">
        <v>5.8000000000000003E-2</v>
      </c>
      <c r="AK214" s="93" t="s">
        <v>31</v>
      </c>
      <c r="AL214" s="93" t="s">
        <v>31</v>
      </c>
      <c r="AM214" s="93" t="s">
        <v>31</v>
      </c>
      <c r="AN214" s="96">
        <v>5.2999999999999999E-2</v>
      </c>
      <c r="AO214" s="93" t="s">
        <v>31</v>
      </c>
      <c r="AP214" s="93" t="s">
        <v>31</v>
      </c>
      <c r="AQ214" s="93" t="s">
        <v>31</v>
      </c>
      <c r="AR214" s="93" t="s">
        <v>31</v>
      </c>
      <c r="AS214" s="93" t="s">
        <v>31</v>
      </c>
      <c r="AT214" s="93" t="s">
        <v>31</v>
      </c>
      <c r="AU214" s="93" t="s">
        <v>31</v>
      </c>
      <c r="AV214" s="93" t="s">
        <v>31</v>
      </c>
      <c r="AW214" s="93" t="s">
        <v>31</v>
      </c>
      <c r="AX214" s="93" t="s">
        <v>31</v>
      </c>
      <c r="AY214" s="93" t="s">
        <v>31</v>
      </c>
      <c r="AZ214" s="93" t="s">
        <v>31</v>
      </c>
      <c r="BA214" s="93" t="s">
        <v>31</v>
      </c>
    </row>
    <row r="215" spans="1:53" x14ac:dyDescent="0.2">
      <c r="A215" s="77">
        <v>63</v>
      </c>
      <c r="B215" s="93" t="s">
        <v>31</v>
      </c>
      <c r="C215" s="93" t="s">
        <v>31</v>
      </c>
      <c r="D215" s="93" t="s">
        <v>31</v>
      </c>
      <c r="E215" s="93" t="s">
        <v>31</v>
      </c>
      <c r="F215" s="93" t="s">
        <v>31</v>
      </c>
      <c r="G215" s="93" t="s">
        <v>31</v>
      </c>
      <c r="H215" s="93" t="s">
        <v>31</v>
      </c>
      <c r="I215" s="93" t="s">
        <v>31</v>
      </c>
      <c r="J215" s="93" t="s">
        <v>31</v>
      </c>
      <c r="K215" s="93" t="s">
        <v>31</v>
      </c>
      <c r="L215" s="93" t="s">
        <v>31</v>
      </c>
      <c r="M215" s="93" t="s">
        <v>31</v>
      </c>
      <c r="N215" s="93" t="s">
        <v>31</v>
      </c>
      <c r="O215" s="93" t="s">
        <v>31</v>
      </c>
      <c r="P215" s="93" t="s">
        <v>31</v>
      </c>
      <c r="Q215" s="93" t="s">
        <v>31</v>
      </c>
      <c r="R215" s="93" t="s">
        <v>31</v>
      </c>
      <c r="S215" s="93" t="s">
        <v>31</v>
      </c>
      <c r="T215" s="93" t="s">
        <v>31</v>
      </c>
      <c r="U215" s="93" t="s">
        <v>31</v>
      </c>
      <c r="V215" s="93" t="s">
        <v>31</v>
      </c>
      <c r="W215" s="93" t="s">
        <v>31</v>
      </c>
      <c r="X215" s="93" t="s">
        <v>31</v>
      </c>
      <c r="Y215" s="93" t="s">
        <v>31</v>
      </c>
      <c r="Z215" s="93" t="s">
        <v>31</v>
      </c>
      <c r="AA215" s="93" t="s">
        <v>31</v>
      </c>
      <c r="AB215" s="93" t="s">
        <v>31</v>
      </c>
      <c r="AC215" s="93" t="s">
        <v>31</v>
      </c>
      <c r="AD215" s="93" t="s">
        <v>31</v>
      </c>
      <c r="AE215" s="93" t="s">
        <v>31</v>
      </c>
      <c r="AF215" s="93" t="s">
        <v>31</v>
      </c>
      <c r="AG215" s="99">
        <v>0.06</v>
      </c>
      <c r="AH215" s="93" t="s">
        <v>31</v>
      </c>
      <c r="AI215" s="153">
        <v>5.6000000000000001E-2</v>
      </c>
      <c r="AJ215" s="153">
        <v>5.6000000000000001E-2</v>
      </c>
      <c r="AK215" s="93" t="s">
        <v>31</v>
      </c>
      <c r="AL215" s="93" t="s">
        <v>31</v>
      </c>
      <c r="AM215" s="93" t="s">
        <v>31</v>
      </c>
      <c r="AN215" s="96">
        <v>5.2999999999999999E-2</v>
      </c>
      <c r="AO215" s="93" t="s">
        <v>31</v>
      </c>
      <c r="AP215" s="93" t="s">
        <v>31</v>
      </c>
      <c r="AQ215" s="93" t="s">
        <v>31</v>
      </c>
      <c r="AR215" s="93" t="s">
        <v>31</v>
      </c>
      <c r="AS215" s="93" t="s">
        <v>31</v>
      </c>
      <c r="AT215" s="93" t="s">
        <v>31</v>
      </c>
      <c r="AU215" s="93" t="s">
        <v>31</v>
      </c>
      <c r="AV215" s="93" t="s">
        <v>31</v>
      </c>
      <c r="AW215" s="93" t="s">
        <v>31</v>
      </c>
      <c r="AX215" s="93" t="s">
        <v>31</v>
      </c>
      <c r="AY215" s="93" t="s">
        <v>31</v>
      </c>
      <c r="AZ215" s="93" t="s">
        <v>31</v>
      </c>
      <c r="BA215" s="93" t="s">
        <v>31</v>
      </c>
    </row>
    <row r="216" spans="1:53" x14ac:dyDescent="0.2">
      <c r="A216" s="77">
        <v>64</v>
      </c>
      <c r="B216" s="93" t="s">
        <v>31</v>
      </c>
      <c r="C216" s="93" t="s">
        <v>31</v>
      </c>
      <c r="D216" s="93" t="s">
        <v>31</v>
      </c>
      <c r="E216" s="93" t="s">
        <v>31</v>
      </c>
      <c r="F216" s="93" t="s">
        <v>31</v>
      </c>
      <c r="G216" s="93" t="s">
        <v>31</v>
      </c>
      <c r="H216" s="93" t="s">
        <v>31</v>
      </c>
      <c r="I216" s="93" t="s">
        <v>31</v>
      </c>
      <c r="J216" s="93" t="s">
        <v>31</v>
      </c>
      <c r="K216" s="93" t="s">
        <v>31</v>
      </c>
      <c r="L216" s="93" t="s">
        <v>31</v>
      </c>
      <c r="M216" s="93" t="s">
        <v>31</v>
      </c>
      <c r="N216" s="93" t="s">
        <v>31</v>
      </c>
      <c r="O216" s="93" t="s">
        <v>31</v>
      </c>
      <c r="P216" s="93" t="s">
        <v>31</v>
      </c>
      <c r="Q216" s="93" t="s">
        <v>31</v>
      </c>
      <c r="R216" s="93" t="s">
        <v>31</v>
      </c>
      <c r="S216" s="93" t="s">
        <v>31</v>
      </c>
      <c r="T216" s="93" t="s">
        <v>31</v>
      </c>
      <c r="U216" s="93" t="s">
        <v>31</v>
      </c>
      <c r="V216" s="93" t="s">
        <v>31</v>
      </c>
      <c r="W216" s="93" t="s">
        <v>31</v>
      </c>
      <c r="X216" s="93" t="s">
        <v>31</v>
      </c>
      <c r="Y216" s="93" t="s">
        <v>31</v>
      </c>
      <c r="Z216" s="93" t="s">
        <v>31</v>
      </c>
      <c r="AA216" s="93" t="s">
        <v>31</v>
      </c>
      <c r="AB216" s="93" t="s">
        <v>31</v>
      </c>
      <c r="AC216" s="93" t="s">
        <v>31</v>
      </c>
      <c r="AD216" s="93" t="s">
        <v>31</v>
      </c>
      <c r="AE216" s="93" t="s">
        <v>31</v>
      </c>
      <c r="AF216" s="93" t="s">
        <v>31</v>
      </c>
      <c r="AG216" s="99">
        <v>0.06</v>
      </c>
      <c r="AH216" s="93" t="s">
        <v>31</v>
      </c>
      <c r="AI216" s="153">
        <v>5.6000000000000001E-2</v>
      </c>
      <c r="AJ216" s="153">
        <v>5.6000000000000001E-2</v>
      </c>
      <c r="AK216" s="93" t="s">
        <v>31</v>
      </c>
      <c r="AL216" s="93" t="s">
        <v>31</v>
      </c>
      <c r="AM216" s="93" t="s">
        <v>31</v>
      </c>
      <c r="AN216" s="96">
        <v>5.2999999999999999E-2</v>
      </c>
      <c r="AO216" s="93" t="s">
        <v>31</v>
      </c>
      <c r="AP216" s="93" t="s">
        <v>31</v>
      </c>
      <c r="AQ216" s="93" t="s">
        <v>31</v>
      </c>
      <c r="AR216" s="93" t="s">
        <v>31</v>
      </c>
      <c r="AS216" s="93" t="s">
        <v>31</v>
      </c>
      <c r="AT216" s="93" t="s">
        <v>31</v>
      </c>
      <c r="AU216" s="93" t="s">
        <v>31</v>
      </c>
      <c r="AV216" s="93" t="s">
        <v>31</v>
      </c>
      <c r="AW216" s="93" t="s">
        <v>31</v>
      </c>
      <c r="AX216" s="93" t="s">
        <v>31</v>
      </c>
      <c r="AY216" s="93" t="s">
        <v>31</v>
      </c>
      <c r="AZ216" s="93" t="s">
        <v>31</v>
      </c>
      <c r="BA216" s="93" t="s">
        <v>31</v>
      </c>
    </row>
    <row r="217" spans="1:53" x14ac:dyDescent="0.2">
      <c r="A217" s="77">
        <v>65</v>
      </c>
      <c r="B217" s="93" t="s">
        <v>31</v>
      </c>
      <c r="C217" s="93" t="s">
        <v>31</v>
      </c>
      <c r="D217" s="93" t="s">
        <v>31</v>
      </c>
      <c r="E217" s="93" t="s">
        <v>31</v>
      </c>
      <c r="F217" s="93" t="s">
        <v>31</v>
      </c>
      <c r="G217" s="93" t="s">
        <v>31</v>
      </c>
      <c r="H217" s="93" t="s">
        <v>31</v>
      </c>
      <c r="I217" s="93" t="s">
        <v>31</v>
      </c>
      <c r="J217" s="93" t="s">
        <v>31</v>
      </c>
      <c r="K217" s="93" t="s">
        <v>31</v>
      </c>
      <c r="L217" s="93" t="s">
        <v>31</v>
      </c>
      <c r="M217" s="93" t="s">
        <v>31</v>
      </c>
      <c r="N217" s="93" t="s">
        <v>31</v>
      </c>
      <c r="O217" s="93" t="s">
        <v>31</v>
      </c>
      <c r="P217" s="93" t="s">
        <v>31</v>
      </c>
      <c r="Q217" s="93" t="s">
        <v>31</v>
      </c>
      <c r="R217" s="93" t="s">
        <v>31</v>
      </c>
      <c r="S217" s="93" t="s">
        <v>31</v>
      </c>
      <c r="T217" s="93" t="s">
        <v>31</v>
      </c>
      <c r="U217" s="93" t="s">
        <v>31</v>
      </c>
      <c r="V217" s="93" t="s">
        <v>31</v>
      </c>
      <c r="W217" s="93" t="s">
        <v>31</v>
      </c>
      <c r="X217" s="93" t="s">
        <v>31</v>
      </c>
      <c r="Y217" s="93" t="s">
        <v>31</v>
      </c>
      <c r="Z217" s="93" t="s">
        <v>31</v>
      </c>
      <c r="AA217" s="93" t="s">
        <v>31</v>
      </c>
      <c r="AB217" s="93" t="s">
        <v>31</v>
      </c>
      <c r="AC217" s="93" t="s">
        <v>31</v>
      </c>
      <c r="AD217" s="93" t="s">
        <v>31</v>
      </c>
      <c r="AE217" s="93" t="s">
        <v>31</v>
      </c>
      <c r="AF217" s="93" t="s">
        <v>31</v>
      </c>
      <c r="AG217" s="99">
        <v>4.4999999999999998E-2</v>
      </c>
      <c r="AH217" s="93" t="s">
        <v>31</v>
      </c>
      <c r="AI217" s="153">
        <v>5.6000000000000001E-2</v>
      </c>
      <c r="AJ217" s="153">
        <v>5.6000000000000001E-2</v>
      </c>
      <c r="AK217" s="93" t="s">
        <v>31</v>
      </c>
      <c r="AL217" s="93" t="s">
        <v>31</v>
      </c>
      <c r="AM217" s="93" t="s">
        <v>31</v>
      </c>
      <c r="AN217" s="96">
        <v>5.2999999999999999E-2</v>
      </c>
      <c r="AO217" s="93" t="s">
        <v>31</v>
      </c>
      <c r="AP217" s="93" t="s">
        <v>31</v>
      </c>
      <c r="AQ217" s="93" t="s">
        <v>31</v>
      </c>
      <c r="AR217" s="93" t="s">
        <v>31</v>
      </c>
      <c r="AS217" s="93" t="s">
        <v>31</v>
      </c>
      <c r="AT217" s="93" t="s">
        <v>31</v>
      </c>
      <c r="AU217" s="93" t="s">
        <v>31</v>
      </c>
      <c r="AV217" s="93" t="s">
        <v>31</v>
      </c>
      <c r="AW217" s="93" t="s">
        <v>31</v>
      </c>
      <c r="AX217" s="93" t="s">
        <v>31</v>
      </c>
      <c r="AY217" s="93" t="s">
        <v>31</v>
      </c>
      <c r="AZ217" s="93" t="s">
        <v>31</v>
      </c>
      <c r="BA217" s="93" t="s">
        <v>31</v>
      </c>
    </row>
    <row r="218" spans="1:53" x14ac:dyDescent="0.2">
      <c r="A218" s="77">
        <v>66</v>
      </c>
      <c r="B218" s="93" t="s">
        <v>31</v>
      </c>
      <c r="C218" s="93" t="s">
        <v>31</v>
      </c>
      <c r="D218" s="93" t="s">
        <v>31</v>
      </c>
      <c r="E218" s="93" t="s">
        <v>31</v>
      </c>
      <c r="F218" s="93" t="s">
        <v>31</v>
      </c>
      <c r="G218" s="93" t="s">
        <v>31</v>
      </c>
      <c r="H218" s="93" t="s">
        <v>31</v>
      </c>
      <c r="I218" s="93" t="s">
        <v>31</v>
      </c>
      <c r="J218" s="93" t="s">
        <v>31</v>
      </c>
      <c r="K218" s="93" t="s">
        <v>31</v>
      </c>
      <c r="L218" s="93" t="s">
        <v>31</v>
      </c>
      <c r="M218" s="93" t="s">
        <v>31</v>
      </c>
      <c r="N218" s="93" t="s">
        <v>31</v>
      </c>
      <c r="O218" s="93" t="s">
        <v>31</v>
      </c>
      <c r="P218" s="93" t="s">
        <v>31</v>
      </c>
      <c r="Q218" s="93" t="s">
        <v>31</v>
      </c>
      <c r="R218" s="93" t="s">
        <v>31</v>
      </c>
      <c r="S218" s="93" t="s">
        <v>31</v>
      </c>
      <c r="T218" s="93" t="s">
        <v>31</v>
      </c>
      <c r="U218" s="93" t="s">
        <v>31</v>
      </c>
      <c r="V218" s="93" t="s">
        <v>31</v>
      </c>
      <c r="W218" s="93" t="s">
        <v>31</v>
      </c>
      <c r="X218" s="93" t="s">
        <v>31</v>
      </c>
      <c r="Y218" s="93" t="s">
        <v>31</v>
      </c>
      <c r="Z218" s="93" t="s">
        <v>31</v>
      </c>
      <c r="AA218" s="93" t="s">
        <v>31</v>
      </c>
      <c r="AB218" s="93" t="s">
        <v>31</v>
      </c>
      <c r="AC218" s="93" t="s">
        <v>31</v>
      </c>
      <c r="AD218" s="93" t="s">
        <v>31</v>
      </c>
      <c r="AE218" s="93" t="s">
        <v>31</v>
      </c>
      <c r="AF218" s="93" t="s">
        <v>31</v>
      </c>
      <c r="AG218" s="99">
        <v>6.6000000000000003E-2</v>
      </c>
      <c r="AH218" s="93" t="s">
        <v>31</v>
      </c>
      <c r="AI218" s="153">
        <v>5.6000000000000001E-2</v>
      </c>
      <c r="AJ218" s="153">
        <v>5.6000000000000001E-2</v>
      </c>
      <c r="AK218" s="93" t="s">
        <v>31</v>
      </c>
      <c r="AL218" s="93" t="s">
        <v>31</v>
      </c>
      <c r="AM218" s="93" t="s">
        <v>31</v>
      </c>
      <c r="AN218" s="96">
        <v>5.2999999999999999E-2</v>
      </c>
      <c r="AO218" s="93" t="s">
        <v>31</v>
      </c>
      <c r="AP218" s="93" t="s">
        <v>31</v>
      </c>
      <c r="AQ218" s="93" t="s">
        <v>31</v>
      </c>
      <c r="AR218" s="93" t="s">
        <v>31</v>
      </c>
      <c r="AS218" s="93" t="s">
        <v>31</v>
      </c>
      <c r="AT218" s="93" t="s">
        <v>31</v>
      </c>
      <c r="AU218" s="93" t="s">
        <v>31</v>
      </c>
      <c r="AV218" s="93" t="s">
        <v>31</v>
      </c>
      <c r="AW218" s="93" t="s">
        <v>31</v>
      </c>
      <c r="AX218" s="93" t="s">
        <v>31</v>
      </c>
      <c r="AY218" s="93" t="s">
        <v>31</v>
      </c>
      <c r="AZ218" s="93" t="s">
        <v>31</v>
      </c>
      <c r="BA218" s="93" t="s">
        <v>31</v>
      </c>
    </row>
    <row r="219" spans="1:53" x14ac:dyDescent="0.2">
      <c r="A219" s="77">
        <v>67</v>
      </c>
      <c r="B219" s="93" t="s">
        <v>31</v>
      </c>
      <c r="C219" s="93" t="s">
        <v>31</v>
      </c>
      <c r="D219" s="93" t="s">
        <v>31</v>
      </c>
      <c r="E219" s="93" t="s">
        <v>31</v>
      </c>
      <c r="F219" s="93" t="s">
        <v>31</v>
      </c>
      <c r="G219" s="93" t="s">
        <v>31</v>
      </c>
      <c r="H219" s="93" t="s">
        <v>31</v>
      </c>
      <c r="I219" s="93" t="s">
        <v>31</v>
      </c>
      <c r="J219" s="93" t="s">
        <v>31</v>
      </c>
      <c r="K219" s="93" t="s">
        <v>31</v>
      </c>
      <c r="L219" s="93" t="s">
        <v>31</v>
      </c>
      <c r="M219" s="93" t="s">
        <v>31</v>
      </c>
      <c r="N219" s="93" t="s">
        <v>31</v>
      </c>
      <c r="O219" s="93" t="s">
        <v>31</v>
      </c>
      <c r="P219" s="93" t="s">
        <v>31</v>
      </c>
      <c r="Q219" s="93" t="s">
        <v>31</v>
      </c>
      <c r="R219" s="93" t="s">
        <v>31</v>
      </c>
      <c r="S219" s="93" t="s">
        <v>31</v>
      </c>
      <c r="T219" s="93" t="s">
        <v>31</v>
      </c>
      <c r="U219" s="93" t="s">
        <v>31</v>
      </c>
      <c r="V219" s="93" t="s">
        <v>31</v>
      </c>
      <c r="W219" s="93" t="s">
        <v>31</v>
      </c>
      <c r="X219" s="93" t="s">
        <v>31</v>
      </c>
      <c r="Y219" s="93" t="s">
        <v>31</v>
      </c>
      <c r="Z219" s="93" t="s">
        <v>31</v>
      </c>
      <c r="AA219" s="93" t="s">
        <v>31</v>
      </c>
      <c r="AB219" s="93" t="s">
        <v>31</v>
      </c>
      <c r="AC219" s="93" t="s">
        <v>31</v>
      </c>
      <c r="AD219" s="93" t="s">
        <v>31</v>
      </c>
      <c r="AE219" s="93" t="s">
        <v>31</v>
      </c>
      <c r="AF219" s="93" t="s">
        <v>31</v>
      </c>
      <c r="AG219" s="99">
        <v>6.7000000000000004E-2</v>
      </c>
      <c r="AH219" s="93" t="s">
        <v>31</v>
      </c>
      <c r="AI219" s="153">
        <v>5.8000000000000003E-2</v>
      </c>
      <c r="AJ219" s="153">
        <v>5.8000000000000003E-2</v>
      </c>
      <c r="AK219" s="93" t="s">
        <v>31</v>
      </c>
      <c r="AL219" s="93" t="s">
        <v>31</v>
      </c>
      <c r="AM219" s="93" t="s">
        <v>31</v>
      </c>
      <c r="AN219" s="96">
        <v>5.8099999999999999E-2</v>
      </c>
      <c r="AO219" s="93" t="s">
        <v>31</v>
      </c>
      <c r="AP219" s="93" t="s">
        <v>31</v>
      </c>
      <c r="AQ219" s="93" t="s">
        <v>31</v>
      </c>
      <c r="AR219" s="93" t="s">
        <v>31</v>
      </c>
      <c r="AS219" s="93" t="s">
        <v>31</v>
      </c>
      <c r="AT219" s="93" t="s">
        <v>31</v>
      </c>
      <c r="AU219" s="93" t="s">
        <v>31</v>
      </c>
      <c r="AV219" s="93" t="s">
        <v>31</v>
      </c>
      <c r="AW219" s="93" t="s">
        <v>31</v>
      </c>
      <c r="AX219" s="93" t="s">
        <v>31</v>
      </c>
      <c r="AY219" s="93" t="s">
        <v>31</v>
      </c>
      <c r="AZ219" s="93" t="s">
        <v>31</v>
      </c>
      <c r="BA219" s="93" t="s">
        <v>31</v>
      </c>
    </row>
    <row r="220" spans="1:53" x14ac:dyDescent="0.2">
      <c r="A220" s="77">
        <v>68</v>
      </c>
      <c r="B220" s="93" t="s">
        <v>31</v>
      </c>
      <c r="C220" s="93" t="s">
        <v>31</v>
      </c>
      <c r="D220" s="93" t="s">
        <v>31</v>
      </c>
      <c r="E220" s="93" t="s">
        <v>31</v>
      </c>
      <c r="F220" s="93" t="s">
        <v>31</v>
      </c>
      <c r="G220" s="93" t="s">
        <v>31</v>
      </c>
      <c r="H220" s="93" t="s">
        <v>31</v>
      </c>
      <c r="I220" s="93" t="s">
        <v>31</v>
      </c>
      <c r="J220" s="93" t="s">
        <v>31</v>
      </c>
      <c r="K220" s="93" t="s">
        <v>31</v>
      </c>
      <c r="L220" s="93" t="s">
        <v>31</v>
      </c>
      <c r="M220" s="93" t="s">
        <v>31</v>
      </c>
      <c r="N220" s="93" t="s">
        <v>31</v>
      </c>
      <c r="O220" s="93" t="s">
        <v>31</v>
      </c>
      <c r="P220" s="93" t="s">
        <v>31</v>
      </c>
      <c r="Q220" s="93" t="s">
        <v>31</v>
      </c>
      <c r="R220" s="93" t="s">
        <v>31</v>
      </c>
      <c r="S220" s="93" t="s">
        <v>31</v>
      </c>
      <c r="T220" s="93" t="s">
        <v>31</v>
      </c>
      <c r="U220" s="93" t="s">
        <v>31</v>
      </c>
      <c r="V220" s="93" t="s">
        <v>31</v>
      </c>
      <c r="W220" s="93" t="s">
        <v>31</v>
      </c>
      <c r="X220" s="93" t="s">
        <v>31</v>
      </c>
      <c r="Y220" s="93" t="s">
        <v>31</v>
      </c>
      <c r="Z220" s="93" t="s">
        <v>31</v>
      </c>
      <c r="AA220" s="93" t="s">
        <v>31</v>
      </c>
      <c r="AB220" s="93" t="s">
        <v>31</v>
      </c>
      <c r="AC220" s="93" t="s">
        <v>31</v>
      </c>
      <c r="AD220" s="93" t="s">
        <v>31</v>
      </c>
      <c r="AE220" s="93" t="s">
        <v>31</v>
      </c>
      <c r="AF220" s="93" t="s">
        <v>31</v>
      </c>
      <c r="AG220" s="99">
        <v>6.7000000000000004E-2</v>
      </c>
      <c r="AH220" s="93" t="s">
        <v>31</v>
      </c>
      <c r="AI220" s="153">
        <v>5.8999999999999997E-2</v>
      </c>
      <c r="AJ220" s="153">
        <v>5.8999999999999997E-2</v>
      </c>
      <c r="AK220" s="93" t="s">
        <v>31</v>
      </c>
      <c r="AL220" s="93" t="s">
        <v>31</v>
      </c>
      <c r="AM220" s="93" t="s">
        <v>31</v>
      </c>
      <c r="AN220" s="96">
        <v>5.8099999999999999E-2</v>
      </c>
      <c r="AO220" s="93" t="s">
        <v>31</v>
      </c>
      <c r="AP220" s="93" t="s">
        <v>31</v>
      </c>
      <c r="AQ220" s="93" t="s">
        <v>31</v>
      </c>
      <c r="AR220" s="93" t="s">
        <v>31</v>
      </c>
      <c r="AS220" s="93" t="s">
        <v>31</v>
      </c>
      <c r="AT220" s="93" t="s">
        <v>31</v>
      </c>
      <c r="AU220" s="93" t="s">
        <v>31</v>
      </c>
      <c r="AV220" s="93" t="s">
        <v>31</v>
      </c>
      <c r="AW220" s="93" t="s">
        <v>31</v>
      </c>
      <c r="AX220" s="93" t="s">
        <v>31</v>
      </c>
      <c r="AY220" s="93" t="s">
        <v>31</v>
      </c>
      <c r="AZ220" s="93" t="s">
        <v>31</v>
      </c>
      <c r="BA220" s="93" t="s">
        <v>31</v>
      </c>
    </row>
    <row r="221" spans="1:53" x14ac:dyDescent="0.2">
      <c r="A221" s="77">
        <v>69</v>
      </c>
      <c r="B221" s="93" t="s">
        <v>31</v>
      </c>
      <c r="C221" s="93" t="s">
        <v>31</v>
      </c>
      <c r="D221" s="93" t="s">
        <v>31</v>
      </c>
      <c r="E221" s="93" t="s">
        <v>31</v>
      </c>
      <c r="F221" s="93" t="s">
        <v>31</v>
      </c>
      <c r="G221" s="93" t="s">
        <v>31</v>
      </c>
      <c r="H221" s="93" t="s">
        <v>31</v>
      </c>
      <c r="I221" s="93" t="s">
        <v>31</v>
      </c>
      <c r="J221" s="93" t="s">
        <v>31</v>
      </c>
      <c r="K221" s="93" t="s">
        <v>31</v>
      </c>
      <c r="L221" s="93" t="s">
        <v>31</v>
      </c>
      <c r="M221" s="93" t="s">
        <v>31</v>
      </c>
      <c r="N221" s="93" t="s">
        <v>31</v>
      </c>
      <c r="O221" s="93" t="s">
        <v>31</v>
      </c>
      <c r="P221" s="93" t="s">
        <v>31</v>
      </c>
      <c r="Q221" s="93" t="s">
        <v>31</v>
      </c>
      <c r="R221" s="93" t="s">
        <v>31</v>
      </c>
      <c r="S221" s="93" t="s">
        <v>31</v>
      </c>
      <c r="T221" s="93" t="s">
        <v>31</v>
      </c>
      <c r="U221" s="93" t="s">
        <v>31</v>
      </c>
      <c r="V221" s="93" t="s">
        <v>31</v>
      </c>
      <c r="W221" s="93" t="s">
        <v>31</v>
      </c>
      <c r="X221" s="93" t="s">
        <v>31</v>
      </c>
      <c r="Y221" s="93" t="s">
        <v>31</v>
      </c>
      <c r="Z221" s="93" t="s">
        <v>31</v>
      </c>
      <c r="AA221" s="93" t="s">
        <v>31</v>
      </c>
      <c r="AB221" s="93" t="s">
        <v>31</v>
      </c>
      <c r="AC221" s="93" t="s">
        <v>31</v>
      </c>
      <c r="AD221" s="93" t="s">
        <v>31</v>
      </c>
      <c r="AE221" s="93" t="s">
        <v>31</v>
      </c>
      <c r="AF221" s="93" t="s">
        <v>31</v>
      </c>
      <c r="AG221" s="99">
        <v>6.6000000000000003E-2</v>
      </c>
      <c r="AH221" s="93" t="s">
        <v>31</v>
      </c>
      <c r="AI221" s="153">
        <v>5.8999999999999997E-2</v>
      </c>
      <c r="AJ221" s="153">
        <v>5.8999999999999997E-2</v>
      </c>
      <c r="AK221" s="93" t="s">
        <v>31</v>
      </c>
      <c r="AL221" s="93" t="s">
        <v>31</v>
      </c>
      <c r="AM221" s="93" t="s">
        <v>31</v>
      </c>
      <c r="AN221" s="96">
        <v>5.8099999999999999E-2</v>
      </c>
      <c r="AO221" s="93" t="s">
        <v>31</v>
      </c>
      <c r="AP221" s="93" t="s">
        <v>31</v>
      </c>
      <c r="AQ221" s="93" t="s">
        <v>31</v>
      </c>
      <c r="AR221" s="93" t="s">
        <v>31</v>
      </c>
      <c r="AS221" s="93" t="s">
        <v>31</v>
      </c>
      <c r="AT221" s="93" t="s">
        <v>31</v>
      </c>
      <c r="AU221" s="93" t="s">
        <v>31</v>
      </c>
      <c r="AV221" s="93" t="s">
        <v>31</v>
      </c>
      <c r="AW221" s="93" t="s">
        <v>31</v>
      </c>
      <c r="AX221" s="93" t="s">
        <v>31</v>
      </c>
      <c r="AY221" s="93" t="s">
        <v>31</v>
      </c>
      <c r="AZ221" s="93" t="s">
        <v>31</v>
      </c>
      <c r="BA221" s="93" t="s">
        <v>31</v>
      </c>
    </row>
    <row r="222" spans="1:53" x14ac:dyDescent="0.2">
      <c r="A222" s="77">
        <v>70</v>
      </c>
      <c r="B222" s="93" t="s">
        <v>31</v>
      </c>
      <c r="C222" s="93" t="s">
        <v>31</v>
      </c>
      <c r="D222" s="93" t="s">
        <v>31</v>
      </c>
      <c r="E222" s="93" t="s">
        <v>31</v>
      </c>
      <c r="F222" s="93" t="s">
        <v>31</v>
      </c>
      <c r="G222" s="93" t="s">
        <v>31</v>
      </c>
      <c r="H222" s="93" t="s">
        <v>31</v>
      </c>
      <c r="I222" s="93" t="s">
        <v>31</v>
      </c>
      <c r="J222" s="93" t="s">
        <v>31</v>
      </c>
      <c r="K222" s="93" t="s">
        <v>31</v>
      </c>
      <c r="L222" s="93" t="s">
        <v>31</v>
      </c>
      <c r="M222" s="93" t="s">
        <v>31</v>
      </c>
      <c r="N222" s="93" t="s">
        <v>31</v>
      </c>
      <c r="O222" s="93" t="s">
        <v>31</v>
      </c>
      <c r="P222" s="93" t="s">
        <v>31</v>
      </c>
      <c r="Q222" s="93" t="s">
        <v>31</v>
      </c>
      <c r="R222" s="93" t="s">
        <v>31</v>
      </c>
      <c r="S222" s="93" t="s">
        <v>31</v>
      </c>
      <c r="T222" s="93" t="s">
        <v>31</v>
      </c>
      <c r="U222" s="93" t="s">
        <v>31</v>
      </c>
      <c r="V222" s="93" t="s">
        <v>31</v>
      </c>
      <c r="W222" s="93" t="s">
        <v>31</v>
      </c>
      <c r="X222" s="93" t="s">
        <v>31</v>
      </c>
      <c r="Y222" s="93" t="s">
        <v>31</v>
      </c>
      <c r="Z222" s="93" t="s">
        <v>31</v>
      </c>
      <c r="AA222" s="93" t="s">
        <v>31</v>
      </c>
      <c r="AB222" s="93" t="s">
        <v>31</v>
      </c>
      <c r="AC222" s="93" t="s">
        <v>31</v>
      </c>
      <c r="AD222" s="93" t="s">
        <v>31</v>
      </c>
      <c r="AE222" s="93" t="s">
        <v>31</v>
      </c>
      <c r="AF222" s="93" t="s">
        <v>31</v>
      </c>
      <c r="AG222" s="99">
        <v>4.3999999999999997E-2</v>
      </c>
      <c r="AH222" s="93" t="s">
        <v>31</v>
      </c>
      <c r="AI222" s="153">
        <v>5.7000000000000002E-2</v>
      </c>
      <c r="AJ222" s="153">
        <v>5.7000000000000002E-2</v>
      </c>
      <c r="AK222" s="93" t="s">
        <v>31</v>
      </c>
      <c r="AL222" s="93" t="s">
        <v>31</v>
      </c>
      <c r="AM222" s="93" t="s">
        <v>31</v>
      </c>
      <c r="AN222" s="96">
        <v>5.8099999999999999E-2</v>
      </c>
      <c r="AO222" s="93" t="s">
        <v>31</v>
      </c>
      <c r="AP222" s="93" t="s">
        <v>31</v>
      </c>
      <c r="AQ222" s="93" t="s">
        <v>31</v>
      </c>
      <c r="AR222" s="93" t="s">
        <v>31</v>
      </c>
      <c r="AS222" s="93" t="s">
        <v>31</v>
      </c>
      <c r="AT222" s="93" t="s">
        <v>31</v>
      </c>
      <c r="AU222" s="93" t="s">
        <v>31</v>
      </c>
      <c r="AV222" s="93" t="s">
        <v>31</v>
      </c>
      <c r="AW222" s="93" t="s">
        <v>31</v>
      </c>
      <c r="AX222" s="93" t="s">
        <v>31</v>
      </c>
      <c r="AY222" s="93" t="s">
        <v>31</v>
      </c>
      <c r="AZ222" s="93" t="s">
        <v>31</v>
      </c>
      <c r="BA222" s="93" t="s">
        <v>31</v>
      </c>
    </row>
    <row r="223" spans="1:53" ht="14.25" customHeight="1" x14ac:dyDescent="0.2">
      <c r="A223" s="77">
        <v>71</v>
      </c>
      <c r="B223" s="93" t="s">
        <v>31</v>
      </c>
      <c r="C223" s="93" t="s">
        <v>31</v>
      </c>
      <c r="D223" s="93" t="s">
        <v>31</v>
      </c>
      <c r="E223" s="93" t="s">
        <v>31</v>
      </c>
      <c r="F223" s="93" t="s">
        <v>31</v>
      </c>
      <c r="G223" s="93" t="s">
        <v>31</v>
      </c>
      <c r="H223" s="93" t="s">
        <v>31</v>
      </c>
      <c r="I223" s="93" t="s">
        <v>31</v>
      </c>
      <c r="J223" s="93" t="s">
        <v>31</v>
      </c>
      <c r="K223" s="93" t="s">
        <v>31</v>
      </c>
      <c r="L223" s="93" t="s">
        <v>31</v>
      </c>
      <c r="M223" s="93" t="s">
        <v>31</v>
      </c>
      <c r="N223" s="93" t="s">
        <v>31</v>
      </c>
      <c r="O223" s="93" t="s">
        <v>31</v>
      </c>
      <c r="P223" s="93" t="s">
        <v>31</v>
      </c>
      <c r="Q223" s="93" t="s">
        <v>31</v>
      </c>
      <c r="R223" s="93" t="s">
        <v>31</v>
      </c>
      <c r="S223" s="93" t="s">
        <v>31</v>
      </c>
      <c r="T223" s="93" t="s">
        <v>31</v>
      </c>
      <c r="U223" s="93" t="s">
        <v>31</v>
      </c>
      <c r="V223" s="93" t="s">
        <v>31</v>
      </c>
      <c r="W223" s="93" t="s">
        <v>31</v>
      </c>
      <c r="X223" s="93" t="s">
        <v>31</v>
      </c>
      <c r="Y223" s="93" t="s">
        <v>31</v>
      </c>
      <c r="Z223" s="93" t="s">
        <v>31</v>
      </c>
      <c r="AA223" s="93" t="s">
        <v>31</v>
      </c>
      <c r="AB223" s="93" t="s">
        <v>31</v>
      </c>
      <c r="AC223" s="93" t="s">
        <v>31</v>
      </c>
      <c r="AD223" s="93" t="s">
        <v>31</v>
      </c>
      <c r="AE223" s="93" t="s">
        <v>31</v>
      </c>
      <c r="AF223" s="93" t="s">
        <v>31</v>
      </c>
      <c r="AG223" s="99">
        <v>6.7000000000000004E-2</v>
      </c>
      <c r="AH223" s="93" t="s">
        <v>31</v>
      </c>
      <c r="AI223" s="153">
        <v>5.6000000000000001E-2</v>
      </c>
      <c r="AJ223" s="153">
        <v>5.6000000000000001E-2</v>
      </c>
      <c r="AK223" s="93" t="s">
        <v>31</v>
      </c>
      <c r="AL223" s="93" t="s">
        <v>31</v>
      </c>
      <c r="AM223" s="93" t="s">
        <v>31</v>
      </c>
      <c r="AN223" s="96" t="s">
        <v>31</v>
      </c>
      <c r="AO223" s="93" t="s">
        <v>31</v>
      </c>
      <c r="AP223" s="93" t="s">
        <v>31</v>
      </c>
      <c r="AQ223" s="93" t="s">
        <v>31</v>
      </c>
      <c r="AR223" s="93" t="s">
        <v>31</v>
      </c>
      <c r="AS223" s="93" t="s">
        <v>31</v>
      </c>
      <c r="AT223" s="93" t="s">
        <v>31</v>
      </c>
      <c r="AU223" s="93" t="s">
        <v>31</v>
      </c>
      <c r="AV223" s="93" t="s">
        <v>31</v>
      </c>
      <c r="AW223" s="93" t="s">
        <v>31</v>
      </c>
      <c r="AX223" s="93" t="s">
        <v>31</v>
      </c>
      <c r="AY223" s="93" t="s">
        <v>31</v>
      </c>
      <c r="AZ223" s="93" t="s">
        <v>31</v>
      </c>
      <c r="BA223" s="93" t="s">
        <v>31</v>
      </c>
    </row>
    <row r="224" spans="1:53" ht="14.25" customHeight="1" x14ac:dyDescent="0.2">
      <c r="A224" s="77">
        <v>72</v>
      </c>
      <c r="B224" s="93" t="s">
        <v>31</v>
      </c>
      <c r="C224" s="93" t="s">
        <v>31</v>
      </c>
      <c r="D224" s="93" t="s">
        <v>31</v>
      </c>
      <c r="E224" s="93" t="s">
        <v>31</v>
      </c>
      <c r="F224" s="93" t="s">
        <v>31</v>
      </c>
      <c r="G224" s="93" t="s">
        <v>31</v>
      </c>
      <c r="H224" s="93" t="s">
        <v>31</v>
      </c>
      <c r="I224" s="93" t="s">
        <v>31</v>
      </c>
      <c r="J224" s="93" t="s">
        <v>31</v>
      </c>
      <c r="K224" s="93" t="s">
        <v>31</v>
      </c>
      <c r="L224" s="93" t="s">
        <v>31</v>
      </c>
      <c r="M224" s="93" t="s">
        <v>31</v>
      </c>
      <c r="N224" s="93" t="s">
        <v>31</v>
      </c>
      <c r="O224" s="93" t="s">
        <v>31</v>
      </c>
      <c r="P224" s="93" t="s">
        <v>31</v>
      </c>
      <c r="Q224" s="93" t="s">
        <v>31</v>
      </c>
      <c r="R224" s="93" t="s">
        <v>31</v>
      </c>
      <c r="S224" s="93" t="s">
        <v>31</v>
      </c>
      <c r="T224" s="93" t="s">
        <v>31</v>
      </c>
      <c r="U224" s="93" t="s">
        <v>31</v>
      </c>
      <c r="V224" s="93" t="s">
        <v>31</v>
      </c>
      <c r="W224" s="93" t="s">
        <v>31</v>
      </c>
      <c r="X224" s="93" t="s">
        <v>31</v>
      </c>
      <c r="Y224" s="93" t="s">
        <v>31</v>
      </c>
      <c r="Z224" s="93" t="s">
        <v>31</v>
      </c>
      <c r="AA224" s="93" t="s">
        <v>31</v>
      </c>
      <c r="AB224" s="93" t="s">
        <v>31</v>
      </c>
      <c r="AC224" s="93" t="s">
        <v>31</v>
      </c>
      <c r="AD224" s="93" t="s">
        <v>31</v>
      </c>
      <c r="AE224" s="93" t="s">
        <v>31</v>
      </c>
      <c r="AF224" s="93" t="s">
        <v>31</v>
      </c>
      <c r="AG224" s="99">
        <v>6.8000000000000005E-2</v>
      </c>
      <c r="AH224" s="93" t="s">
        <v>31</v>
      </c>
      <c r="AI224" s="153">
        <v>5.5E-2</v>
      </c>
      <c r="AJ224" s="153">
        <v>5.5E-2</v>
      </c>
      <c r="AK224" s="93" t="s">
        <v>31</v>
      </c>
      <c r="AL224" s="93" t="s">
        <v>31</v>
      </c>
      <c r="AM224" s="93" t="s">
        <v>31</v>
      </c>
      <c r="AN224" s="96" t="s">
        <v>31</v>
      </c>
      <c r="AO224" s="93" t="s">
        <v>31</v>
      </c>
      <c r="AP224" s="93" t="s">
        <v>31</v>
      </c>
      <c r="AQ224" s="93" t="s">
        <v>31</v>
      </c>
      <c r="AR224" s="93" t="s">
        <v>31</v>
      </c>
      <c r="AS224" s="93" t="s">
        <v>31</v>
      </c>
      <c r="AT224" s="93" t="s">
        <v>31</v>
      </c>
      <c r="AU224" s="93" t="s">
        <v>31</v>
      </c>
      <c r="AV224" s="93" t="s">
        <v>31</v>
      </c>
      <c r="AW224" s="93" t="s">
        <v>31</v>
      </c>
      <c r="AX224" s="93" t="s">
        <v>31</v>
      </c>
      <c r="AY224" s="93" t="s">
        <v>31</v>
      </c>
      <c r="AZ224" s="93" t="s">
        <v>31</v>
      </c>
      <c r="BA224" s="93" t="s">
        <v>31</v>
      </c>
    </row>
    <row r="225" spans="1:53" ht="14.25" customHeight="1" x14ac:dyDescent="0.2">
      <c r="A225" s="77">
        <v>73</v>
      </c>
      <c r="B225" s="93" t="s">
        <v>31</v>
      </c>
      <c r="C225" s="93" t="s">
        <v>31</v>
      </c>
      <c r="D225" s="93" t="s">
        <v>31</v>
      </c>
      <c r="E225" s="93" t="s">
        <v>31</v>
      </c>
      <c r="F225" s="93" t="s">
        <v>31</v>
      </c>
      <c r="G225" s="93" t="s">
        <v>31</v>
      </c>
      <c r="H225" s="93" t="s">
        <v>31</v>
      </c>
      <c r="I225" s="93" t="s">
        <v>31</v>
      </c>
      <c r="J225" s="93" t="s">
        <v>31</v>
      </c>
      <c r="K225" s="93" t="s">
        <v>31</v>
      </c>
      <c r="L225" s="93" t="s">
        <v>31</v>
      </c>
      <c r="M225" s="93" t="s">
        <v>31</v>
      </c>
      <c r="N225" s="93" t="s">
        <v>31</v>
      </c>
      <c r="O225" s="93" t="s">
        <v>31</v>
      </c>
      <c r="P225" s="93" t="s">
        <v>31</v>
      </c>
      <c r="Q225" s="93" t="s">
        <v>31</v>
      </c>
      <c r="R225" s="93" t="s">
        <v>31</v>
      </c>
      <c r="S225" s="93" t="s">
        <v>31</v>
      </c>
      <c r="T225" s="93" t="s">
        <v>31</v>
      </c>
      <c r="U225" s="93" t="s">
        <v>31</v>
      </c>
      <c r="V225" s="93" t="s">
        <v>31</v>
      </c>
      <c r="W225" s="93" t="s">
        <v>31</v>
      </c>
      <c r="X225" s="93" t="s">
        <v>31</v>
      </c>
      <c r="Y225" s="93" t="s">
        <v>31</v>
      </c>
      <c r="Z225" s="93" t="s">
        <v>31</v>
      </c>
      <c r="AA225" s="93" t="s">
        <v>31</v>
      </c>
      <c r="AB225" s="93" t="s">
        <v>31</v>
      </c>
      <c r="AC225" s="93" t="s">
        <v>31</v>
      </c>
      <c r="AD225" s="93" t="s">
        <v>31</v>
      </c>
      <c r="AE225" s="93" t="s">
        <v>31</v>
      </c>
      <c r="AF225" s="93" t="s">
        <v>31</v>
      </c>
      <c r="AG225" s="99">
        <v>7.0000000000000007E-2</v>
      </c>
      <c r="AH225" s="93" t="s">
        <v>31</v>
      </c>
      <c r="AI225" s="153">
        <v>5.6000000000000001E-2</v>
      </c>
      <c r="AJ225" s="153">
        <v>5.6000000000000001E-2</v>
      </c>
      <c r="AK225" s="93" t="s">
        <v>31</v>
      </c>
      <c r="AL225" s="93" t="s">
        <v>31</v>
      </c>
      <c r="AM225" s="93" t="s">
        <v>31</v>
      </c>
      <c r="AN225" s="96" t="s">
        <v>31</v>
      </c>
      <c r="AO225" s="93" t="s">
        <v>31</v>
      </c>
      <c r="AP225" s="93" t="s">
        <v>31</v>
      </c>
      <c r="AQ225" s="93" t="s">
        <v>31</v>
      </c>
      <c r="AR225" s="93" t="s">
        <v>31</v>
      </c>
      <c r="AS225" s="93" t="s">
        <v>31</v>
      </c>
      <c r="AT225" s="93" t="s">
        <v>31</v>
      </c>
      <c r="AU225" s="93" t="s">
        <v>31</v>
      </c>
      <c r="AV225" s="93" t="s">
        <v>31</v>
      </c>
      <c r="AW225" s="93" t="s">
        <v>31</v>
      </c>
      <c r="AX225" s="93" t="s">
        <v>31</v>
      </c>
      <c r="AY225" s="93" t="s">
        <v>31</v>
      </c>
      <c r="AZ225" s="93" t="s">
        <v>31</v>
      </c>
      <c r="BA225" s="93" t="s">
        <v>31</v>
      </c>
    </row>
    <row r="226" spans="1:53" ht="14.25" customHeight="1" x14ac:dyDescent="0.2">
      <c r="A226" s="77">
        <v>74</v>
      </c>
      <c r="B226" s="93" t="s">
        <v>31</v>
      </c>
      <c r="C226" s="93" t="s">
        <v>31</v>
      </c>
      <c r="D226" s="93" t="s">
        <v>31</v>
      </c>
      <c r="E226" s="93" t="s">
        <v>31</v>
      </c>
      <c r="F226" s="93" t="s">
        <v>31</v>
      </c>
      <c r="G226" s="93" t="s">
        <v>31</v>
      </c>
      <c r="H226" s="93" t="s">
        <v>31</v>
      </c>
      <c r="I226" s="93" t="s">
        <v>31</v>
      </c>
      <c r="J226" s="93" t="s">
        <v>31</v>
      </c>
      <c r="K226" s="93" t="s">
        <v>31</v>
      </c>
      <c r="L226" s="93" t="s">
        <v>31</v>
      </c>
      <c r="M226" s="93" t="s">
        <v>31</v>
      </c>
      <c r="N226" s="93" t="s">
        <v>31</v>
      </c>
      <c r="O226" s="93" t="s">
        <v>31</v>
      </c>
      <c r="P226" s="93" t="s">
        <v>31</v>
      </c>
      <c r="Q226" s="93" t="s">
        <v>31</v>
      </c>
      <c r="R226" s="93" t="s">
        <v>31</v>
      </c>
      <c r="S226" s="93" t="s">
        <v>31</v>
      </c>
      <c r="T226" s="93" t="s">
        <v>31</v>
      </c>
      <c r="U226" s="93" t="s">
        <v>31</v>
      </c>
      <c r="V226" s="93" t="s">
        <v>31</v>
      </c>
      <c r="W226" s="93" t="s">
        <v>31</v>
      </c>
      <c r="X226" s="93" t="s">
        <v>31</v>
      </c>
      <c r="Y226" s="93" t="s">
        <v>31</v>
      </c>
      <c r="Z226" s="93" t="s">
        <v>31</v>
      </c>
      <c r="AA226" s="93" t="s">
        <v>31</v>
      </c>
      <c r="AB226" s="93" t="s">
        <v>31</v>
      </c>
      <c r="AC226" s="93" t="s">
        <v>31</v>
      </c>
      <c r="AD226" s="93" t="s">
        <v>31</v>
      </c>
      <c r="AE226" s="93" t="s">
        <v>31</v>
      </c>
      <c r="AF226" s="93" t="s">
        <v>31</v>
      </c>
      <c r="AG226" s="99">
        <v>7.2999999999999995E-2</v>
      </c>
      <c r="AH226" s="93" t="s">
        <v>31</v>
      </c>
      <c r="AI226" s="153">
        <v>5.8000000000000003E-2</v>
      </c>
      <c r="AJ226" s="153">
        <v>5.8000000000000003E-2</v>
      </c>
      <c r="AK226" s="93" t="s">
        <v>31</v>
      </c>
      <c r="AL226" s="93" t="s">
        <v>31</v>
      </c>
      <c r="AM226" s="93" t="s">
        <v>31</v>
      </c>
      <c r="AN226" s="96" t="s">
        <v>31</v>
      </c>
      <c r="AO226" s="93" t="s">
        <v>31</v>
      </c>
      <c r="AP226" s="93" t="s">
        <v>31</v>
      </c>
      <c r="AQ226" s="93" t="s">
        <v>31</v>
      </c>
      <c r="AR226" s="93" t="s">
        <v>31</v>
      </c>
      <c r="AS226" s="93" t="s">
        <v>31</v>
      </c>
      <c r="AT226" s="93" t="s">
        <v>31</v>
      </c>
      <c r="AU226" s="93" t="s">
        <v>31</v>
      </c>
      <c r="AV226" s="93" t="s">
        <v>31</v>
      </c>
      <c r="AW226" s="93" t="s">
        <v>31</v>
      </c>
      <c r="AX226" s="93" t="s">
        <v>31</v>
      </c>
      <c r="AY226" s="93" t="s">
        <v>31</v>
      </c>
      <c r="AZ226" s="93" t="s">
        <v>31</v>
      </c>
      <c r="BA226" s="93" t="s">
        <v>31</v>
      </c>
    </row>
    <row r="227" spans="1:53" ht="14.25" customHeight="1" x14ac:dyDescent="0.2">
      <c r="A227" s="77">
        <v>75</v>
      </c>
      <c r="B227" s="93" t="s">
        <v>31</v>
      </c>
      <c r="C227" s="93" t="s">
        <v>31</v>
      </c>
      <c r="D227" s="93" t="s">
        <v>31</v>
      </c>
      <c r="E227" s="93" t="s">
        <v>31</v>
      </c>
      <c r="F227" s="93" t="s">
        <v>31</v>
      </c>
      <c r="G227" s="93" t="s">
        <v>31</v>
      </c>
      <c r="H227" s="93" t="s">
        <v>31</v>
      </c>
      <c r="I227" s="93" t="s">
        <v>31</v>
      </c>
      <c r="J227" s="93" t="s">
        <v>31</v>
      </c>
      <c r="K227" s="93" t="s">
        <v>31</v>
      </c>
      <c r="L227" s="93" t="s">
        <v>31</v>
      </c>
      <c r="M227" s="93" t="s">
        <v>31</v>
      </c>
      <c r="N227" s="93" t="s">
        <v>31</v>
      </c>
      <c r="O227" s="93" t="s">
        <v>31</v>
      </c>
      <c r="P227" s="93" t="s">
        <v>31</v>
      </c>
      <c r="Q227" s="93" t="s">
        <v>31</v>
      </c>
      <c r="R227" s="93" t="s">
        <v>31</v>
      </c>
      <c r="S227" s="93" t="s">
        <v>31</v>
      </c>
      <c r="T227" s="93" t="s">
        <v>31</v>
      </c>
      <c r="U227" s="93" t="s">
        <v>31</v>
      </c>
      <c r="V227" s="93" t="s">
        <v>31</v>
      </c>
      <c r="W227" s="93" t="s">
        <v>31</v>
      </c>
      <c r="X227" s="93" t="s">
        <v>31</v>
      </c>
      <c r="Y227" s="93" t="s">
        <v>31</v>
      </c>
      <c r="Z227" s="93" t="s">
        <v>31</v>
      </c>
      <c r="AA227" s="93" t="s">
        <v>31</v>
      </c>
      <c r="AB227" s="93" t="s">
        <v>31</v>
      </c>
      <c r="AC227" s="93" t="s">
        <v>31</v>
      </c>
      <c r="AD227" s="93" t="s">
        <v>31</v>
      </c>
      <c r="AE227" s="93" t="s">
        <v>31</v>
      </c>
      <c r="AF227" s="93" t="s">
        <v>31</v>
      </c>
      <c r="AG227" s="99">
        <v>5.0999999999999997E-2</v>
      </c>
      <c r="AH227" s="99">
        <v>5.5E-2</v>
      </c>
      <c r="AI227" s="153">
        <v>6.6000000000000003E-2</v>
      </c>
      <c r="AJ227" s="153">
        <v>6.6000000000000003E-2</v>
      </c>
      <c r="AK227" s="93" t="s">
        <v>31</v>
      </c>
      <c r="AL227" s="93" t="s">
        <v>31</v>
      </c>
      <c r="AM227" s="93" t="s">
        <v>31</v>
      </c>
      <c r="AN227" s="96" t="s">
        <v>31</v>
      </c>
      <c r="AO227" s="93" t="s">
        <v>31</v>
      </c>
      <c r="AP227" s="93" t="s">
        <v>31</v>
      </c>
      <c r="AQ227" s="93" t="s">
        <v>31</v>
      </c>
      <c r="AR227" s="93" t="s">
        <v>31</v>
      </c>
      <c r="AS227" s="93" t="s">
        <v>31</v>
      </c>
      <c r="AT227" s="93" t="s">
        <v>31</v>
      </c>
      <c r="AU227" s="93" t="s">
        <v>31</v>
      </c>
      <c r="AV227" s="93" t="s">
        <v>31</v>
      </c>
      <c r="AW227" s="93" t="s">
        <v>31</v>
      </c>
      <c r="AX227" s="93" t="s">
        <v>31</v>
      </c>
      <c r="AY227" s="93" t="s">
        <v>31</v>
      </c>
      <c r="AZ227" s="93" t="s">
        <v>31</v>
      </c>
      <c r="BA227" s="93" t="s">
        <v>31</v>
      </c>
    </row>
    <row r="228" spans="1:53" ht="14.25" customHeight="1" x14ac:dyDescent="0.2">
      <c r="A228" s="77">
        <v>77</v>
      </c>
      <c r="B228" s="93" t="s">
        <v>31</v>
      </c>
      <c r="C228" s="93" t="s">
        <v>31</v>
      </c>
      <c r="D228" s="93" t="s">
        <v>31</v>
      </c>
      <c r="E228" s="93" t="s">
        <v>31</v>
      </c>
      <c r="F228" s="93" t="s">
        <v>31</v>
      </c>
      <c r="G228" s="93" t="s">
        <v>31</v>
      </c>
      <c r="H228" s="93" t="s">
        <v>31</v>
      </c>
      <c r="I228" s="93" t="s">
        <v>31</v>
      </c>
      <c r="J228" s="93" t="s">
        <v>31</v>
      </c>
      <c r="K228" s="93" t="s">
        <v>31</v>
      </c>
      <c r="L228" s="93" t="s">
        <v>31</v>
      </c>
      <c r="M228" s="93" t="s">
        <v>31</v>
      </c>
      <c r="N228" s="93" t="s">
        <v>31</v>
      </c>
      <c r="O228" s="93" t="s">
        <v>31</v>
      </c>
      <c r="P228" s="93" t="s">
        <v>31</v>
      </c>
      <c r="Q228" s="93" t="s">
        <v>31</v>
      </c>
      <c r="R228" s="93" t="s">
        <v>31</v>
      </c>
      <c r="S228" s="93" t="s">
        <v>31</v>
      </c>
      <c r="T228" s="93" t="s">
        <v>31</v>
      </c>
      <c r="U228" s="93" t="s">
        <v>31</v>
      </c>
      <c r="V228" s="93" t="s">
        <v>31</v>
      </c>
      <c r="W228" s="93" t="s">
        <v>31</v>
      </c>
      <c r="X228" s="93" t="s">
        <v>31</v>
      </c>
      <c r="Y228" s="93" t="s">
        <v>31</v>
      </c>
      <c r="Z228" s="93" t="s">
        <v>31</v>
      </c>
      <c r="AA228" s="93" t="s">
        <v>31</v>
      </c>
      <c r="AB228" s="93" t="s">
        <v>31</v>
      </c>
      <c r="AC228" s="93" t="s">
        <v>31</v>
      </c>
      <c r="AD228" s="93" t="s">
        <v>31</v>
      </c>
      <c r="AE228" s="93" t="s">
        <v>31</v>
      </c>
      <c r="AF228" s="93" t="s">
        <v>31</v>
      </c>
      <c r="AG228" s="93" t="s">
        <v>31</v>
      </c>
      <c r="AH228" s="99">
        <v>5.3999999999999999E-2</v>
      </c>
      <c r="AI228" s="153">
        <v>5.6000000000000001E-2</v>
      </c>
      <c r="AJ228" s="153">
        <v>5.6000000000000001E-2</v>
      </c>
      <c r="AK228" s="93" t="s">
        <v>31</v>
      </c>
      <c r="AL228" s="93" t="s">
        <v>31</v>
      </c>
      <c r="AM228" s="93" t="s">
        <v>31</v>
      </c>
      <c r="AN228" s="96" t="s">
        <v>31</v>
      </c>
      <c r="AO228" s="93" t="s">
        <v>31</v>
      </c>
      <c r="AP228" s="93" t="s">
        <v>31</v>
      </c>
      <c r="AQ228" s="93" t="s">
        <v>31</v>
      </c>
      <c r="AR228" s="93" t="s">
        <v>31</v>
      </c>
      <c r="AS228" s="93" t="s">
        <v>31</v>
      </c>
      <c r="AT228" s="93" t="s">
        <v>31</v>
      </c>
      <c r="AU228" s="93" t="s">
        <v>31</v>
      </c>
      <c r="AV228" s="93" t="s">
        <v>31</v>
      </c>
      <c r="AW228" s="93" t="s">
        <v>31</v>
      </c>
      <c r="AX228" s="93" t="s">
        <v>31</v>
      </c>
      <c r="AY228" s="93" t="s">
        <v>31</v>
      </c>
      <c r="AZ228" s="93" t="s">
        <v>31</v>
      </c>
      <c r="BA228" s="93" t="s">
        <v>31</v>
      </c>
    </row>
    <row r="229" spans="1:53" ht="14.25" customHeight="1" x14ac:dyDescent="0.2">
      <c r="A229" s="77">
        <v>79</v>
      </c>
      <c r="B229" s="93" t="s">
        <v>31</v>
      </c>
      <c r="C229" s="93" t="s">
        <v>31</v>
      </c>
      <c r="D229" s="93" t="s">
        <v>31</v>
      </c>
      <c r="E229" s="93" t="s">
        <v>31</v>
      </c>
      <c r="F229" s="93" t="s">
        <v>31</v>
      </c>
      <c r="G229" s="93" t="s">
        <v>31</v>
      </c>
      <c r="H229" s="93" t="s">
        <v>31</v>
      </c>
      <c r="I229" s="93" t="s">
        <v>31</v>
      </c>
      <c r="J229" s="93" t="s">
        <v>31</v>
      </c>
      <c r="K229" s="93" t="s">
        <v>31</v>
      </c>
      <c r="L229" s="93" t="s">
        <v>31</v>
      </c>
      <c r="M229" s="93" t="s">
        <v>31</v>
      </c>
      <c r="N229" s="93" t="s">
        <v>31</v>
      </c>
      <c r="O229" s="93" t="s">
        <v>31</v>
      </c>
      <c r="P229" s="93" t="s">
        <v>31</v>
      </c>
      <c r="Q229" s="93" t="s">
        <v>31</v>
      </c>
      <c r="R229" s="93" t="s">
        <v>31</v>
      </c>
      <c r="S229" s="93" t="s">
        <v>31</v>
      </c>
      <c r="T229" s="93" t="s">
        <v>31</v>
      </c>
      <c r="U229" s="93" t="s">
        <v>31</v>
      </c>
      <c r="V229" s="93" t="s">
        <v>31</v>
      </c>
      <c r="W229" s="93" t="s">
        <v>31</v>
      </c>
      <c r="X229" s="93" t="s">
        <v>31</v>
      </c>
      <c r="Y229" s="93" t="s">
        <v>31</v>
      </c>
      <c r="Z229" s="93" t="s">
        <v>31</v>
      </c>
      <c r="AA229" s="93" t="s">
        <v>31</v>
      </c>
      <c r="AB229" s="93" t="s">
        <v>31</v>
      </c>
      <c r="AC229" s="93" t="s">
        <v>31</v>
      </c>
      <c r="AD229" s="93" t="s">
        <v>31</v>
      </c>
      <c r="AE229" s="93" t="s">
        <v>31</v>
      </c>
      <c r="AF229" s="93" t="s">
        <v>31</v>
      </c>
      <c r="AG229" s="93" t="s">
        <v>31</v>
      </c>
      <c r="AH229" s="99">
        <v>5.1999999999999998E-2</v>
      </c>
      <c r="AI229" s="153">
        <v>5.2999999999999999E-2</v>
      </c>
      <c r="AJ229" s="153">
        <v>5.2999999999999999E-2</v>
      </c>
      <c r="AK229" s="93" t="s">
        <v>31</v>
      </c>
      <c r="AL229" s="93" t="s">
        <v>31</v>
      </c>
      <c r="AM229" s="93" t="s">
        <v>31</v>
      </c>
      <c r="AN229" s="96" t="s">
        <v>31</v>
      </c>
      <c r="AO229" s="93" t="s">
        <v>31</v>
      </c>
      <c r="AP229" s="93" t="s">
        <v>31</v>
      </c>
      <c r="AQ229" s="93" t="s">
        <v>31</v>
      </c>
      <c r="AR229" s="93" t="s">
        <v>31</v>
      </c>
      <c r="AS229" s="93" t="s">
        <v>31</v>
      </c>
      <c r="AT229" s="93" t="s">
        <v>31</v>
      </c>
      <c r="AU229" s="93" t="s">
        <v>31</v>
      </c>
      <c r="AV229" s="93" t="s">
        <v>31</v>
      </c>
      <c r="AW229" s="93" t="s">
        <v>31</v>
      </c>
      <c r="AX229" s="93" t="s">
        <v>31</v>
      </c>
      <c r="AY229" s="93" t="s">
        <v>31</v>
      </c>
      <c r="AZ229" s="93" t="s">
        <v>31</v>
      </c>
      <c r="BA229" s="93" t="s">
        <v>31</v>
      </c>
    </row>
    <row r="230" spans="1:53" ht="14.25" customHeight="1" x14ac:dyDescent="0.2">
      <c r="A230" s="77">
        <v>90</v>
      </c>
      <c r="B230" s="93" t="s">
        <v>31</v>
      </c>
      <c r="C230" s="93" t="s">
        <v>31</v>
      </c>
      <c r="D230" s="93" t="s">
        <v>31</v>
      </c>
      <c r="E230" s="93" t="s">
        <v>31</v>
      </c>
      <c r="F230" s="93" t="s">
        <v>31</v>
      </c>
      <c r="G230" s="93" t="s">
        <v>31</v>
      </c>
      <c r="H230" s="93" t="s">
        <v>31</v>
      </c>
      <c r="I230" s="93" t="s">
        <v>31</v>
      </c>
      <c r="J230" s="93" t="s">
        <v>31</v>
      </c>
      <c r="K230" s="93" t="s">
        <v>31</v>
      </c>
      <c r="L230" s="93" t="s">
        <v>31</v>
      </c>
      <c r="M230" s="93" t="s">
        <v>31</v>
      </c>
      <c r="N230" s="93" t="s">
        <v>31</v>
      </c>
      <c r="O230" s="93" t="s">
        <v>31</v>
      </c>
      <c r="P230" s="93" t="s">
        <v>31</v>
      </c>
      <c r="Q230" s="93" t="s">
        <v>31</v>
      </c>
      <c r="R230" s="93" t="s">
        <v>31</v>
      </c>
      <c r="S230" s="93" t="s">
        <v>31</v>
      </c>
      <c r="T230" s="93" t="s">
        <v>31</v>
      </c>
      <c r="U230" s="93" t="s">
        <v>31</v>
      </c>
      <c r="V230" s="93" t="s">
        <v>31</v>
      </c>
      <c r="W230" s="93" t="s">
        <v>31</v>
      </c>
      <c r="X230" s="93" t="s">
        <v>31</v>
      </c>
      <c r="Y230" s="93" t="s">
        <v>31</v>
      </c>
      <c r="Z230" s="93" t="s">
        <v>31</v>
      </c>
      <c r="AA230" s="93" t="s">
        <v>31</v>
      </c>
      <c r="AB230" s="93" t="s">
        <v>31</v>
      </c>
      <c r="AC230" s="93" t="s">
        <v>31</v>
      </c>
      <c r="AD230" s="93" t="s">
        <v>31</v>
      </c>
      <c r="AE230" s="93" t="s">
        <v>31</v>
      </c>
      <c r="AF230" s="93" t="s">
        <v>31</v>
      </c>
      <c r="AG230" s="93" t="s">
        <v>31</v>
      </c>
      <c r="AH230" s="99">
        <v>5.1999999999999998E-2</v>
      </c>
      <c r="AI230" s="153">
        <v>6.0999999999999999E-2</v>
      </c>
      <c r="AJ230" s="153">
        <v>6.0999999999999999E-2</v>
      </c>
      <c r="AK230" s="93" t="s">
        <v>31</v>
      </c>
      <c r="AL230" s="93" t="s">
        <v>31</v>
      </c>
      <c r="AM230" s="93" t="s">
        <v>31</v>
      </c>
      <c r="AN230" s="96" t="s">
        <v>31</v>
      </c>
      <c r="AO230" s="93" t="s">
        <v>31</v>
      </c>
      <c r="AP230" s="93" t="s">
        <v>31</v>
      </c>
      <c r="AQ230" s="93" t="s">
        <v>31</v>
      </c>
      <c r="AR230" s="93" t="s">
        <v>31</v>
      </c>
      <c r="AS230" s="93" t="s">
        <v>31</v>
      </c>
      <c r="AT230" s="93" t="s">
        <v>31</v>
      </c>
      <c r="AU230" s="93" t="s">
        <v>31</v>
      </c>
      <c r="AV230" s="93" t="s">
        <v>31</v>
      </c>
      <c r="AW230" s="93" t="s">
        <v>31</v>
      </c>
      <c r="AX230" s="93" t="s">
        <v>31</v>
      </c>
      <c r="AY230" s="93" t="s">
        <v>31</v>
      </c>
      <c r="AZ230" s="93" t="s">
        <v>31</v>
      </c>
      <c r="BA230" s="93" t="s">
        <v>31</v>
      </c>
    </row>
    <row r="231" spans="1:53" ht="14.25" customHeight="1" x14ac:dyDescent="0.2">
      <c r="A231" s="77">
        <v>110</v>
      </c>
      <c r="B231" s="93" t="s">
        <v>31</v>
      </c>
      <c r="C231" s="93" t="s">
        <v>31</v>
      </c>
      <c r="D231" s="93" t="s">
        <v>31</v>
      </c>
      <c r="E231" s="93" t="s">
        <v>31</v>
      </c>
      <c r="F231" s="93" t="s">
        <v>31</v>
      </c>
      <c r="G231" s="93" t="s">
        <v>31</v>
      </c>
      <c r="H231" s="93" t="s">
        <v>31</v>
      </c>
      <c r="I231" s="93" t="s">
        <v>31</v>
      </c>
      <c r="J231" s="93" t="s">
        <v>31</v>
      </c>
      <c r="K231" s="93" t="s">
        <v>31</v>
      </c>
      <c r="L231" s="93" t="s">
        <v>31</v>
      </c>
      <c r="M231" s="93" t="s">
        <v>31</v>
      </c>
      <c r="N231" s="93" t="s">
        <v>31</v>
      </c>
      <c r="O231" s="93" t="s">
        <v>31</v>
      </c>
      <c r="P231" s="93" t="s">
        <v>31</v>
      </c>
      <c r="Q231" s="93" t="s">
        <v>31</v>
      </c>
      <c r="R231" s="93" t="s">
        <v>31</v>
      </c>
      <c r="S231" s="93" t="s">
        <v>31</v>
      </c>
      <c r="T231" s="93" t="s">
        <v>31</v>
      </c>
      <c r="U231" s="93" t="s">
        <v>31</v>
      </c>
      <c r="V231" s="93" t="s">
        <v>31</v>
      </c>
      <c r="W231" s="93" t="s">
        <v>31</v>
      </c>
      <c r="X231" s="93" t="s">
        <v>31</v>
      </c>
      <c r="Y231" s="93" t="s">
        <v>31</v>
      </c>
      <c r="Z231" s="93" t="s">
        <v>31</v>
      </c>
      <c r="AA231" s="93" t="s">
        <v>31</v>
      </c>
      <c r="AB231" s="93" t="s">
        <v>31</v>
      </c>
      <c r="AC231" s="93" t="s">
        <v>31</v>
      </c>
      <c r="AD231" s="93" t="s">
        <v>31</v>
      </c>
      <c r="AE231" s="93" t="s">
        <v>31</v>
      </c>
      <c r="AF231" s="93" t="s">
        <v>31</v>
      </c>
      <c r="AG231" s="93" t="s">
        <v>31</v>
      </c>
      <c r="AH231" s="99">
        <v>5.1999999999999998E-2</v>
      </c>
      <c r="AI231" s="164" t="s">
        <v>31</v>
      </c>
      <c r="AJ231" s="164" t="s">
        <v>31</v>
      </c>
      <c r="AK231" s="93" t="s">
        <v>31</v>
      </c>
      <c r="AL231" s="93" t="s">
        <v>31</v>
      </c>
      <c r="AM231" s="93" t="s">
        <v>31</v>
      </c>
      <c r="AN231" s="96" t="s">
        <v>31</v>
      </c>
      <c r="AO231" s="93" t="s">
        <v>31</v>
      </c>
      <c r="AP231" s="93" t="s">
        <v>31</v>
      </c>
      <c r="AQ231" s="93" t="s">
        <v>31</v>
      </c>
      <c r="AR231" s="93" t="s">
        <v>31</v>
      </c>
      <c r="AS231" s="93" t="s">
        <v>31</v>
      </c>
      <c r="AT231" s="93" t="s">
        <v>31</v>
      </c>
      <c r="AU231" s="93" t="s">
        <v>31</v>
      </c>
      <c r="AV231" s="93" t="s">
        <v>31</v>
      </c>
      <c r="AW231" s="93" t="s">
        <v>31</v>
      </c>
      <c r="AX231" s="93" t="s">
        <v>31</v>
      </c>
      <c r="AY231" s="93" t="s">
        <v>31</v>
      </c>
      <c r="AZ231" s="93" t="s">
        <v>31</v>
      </c>
      <c r="BA231" s="93" t="s">
        <v>31</v>
      </c>
    </row>
    <row r="232" spans="1:53" ht="14.25" customHeight="1" x14ac:dyDescent="0.2">
      <c r="A232" s="165"/>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c r="AA232" s="166"/>
      <c r="AB232" s="166"/>
      <c r="AC232" s="166"/>
      <c r="AD232" s="166"/>
      <c r="AE232" s="166"/>
      <c r="AF232" s="166"/>
      <c r="AG232" s="167"/>
      <c r="AH232" s="166"/>
      <c r="AI232" s="167"/>
      <c r="AJ232" s="167"/>
      <c r="AK232" s="166"/>
      <c r="AL232" s="166"/>
      <c r="AM232" s="166"/>
      <c r="AN232" s="166"/>
      <c r="AO232" s="166"/>
      <c r="AP232" s="166"/>
      <c r="AQ232" s="166"/>
      <c r="AR232" s="166"/>
      <c r="AS232" s="166"/>
      <c r="AT232" s="166"/>
      <c r="AU232" s="166"/>
      <c r="AV232" s="166"/>
      <c r="AW232" s="166"/>
      <c r="AX232" s="166"/>
      <c r="AY232" s="166"/>
      <c r="AZ232" s="166"/>
    </row>
    <row r="233" spans="1:53" ht="14.25" customHeight="1" x14ac:dyDescent="0.2">
      <c r="A233" s="165"/>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E233" s="166"/>
      <c r="AF233" s="166"/>
      <c r="AG233" s="167"/>
      <c r="AH233" s="166"/>
      <c r="AI233" s="167"/>
      <c r="AJ233" s="167"/>
      <c r="AK233" s="166"/>
      <c r="AL233" s="166"/>
      <c r="AM233" s="166"/>
      <c r="AN233" s="166"/>
      <c r="AO233" s="166"/>
      <c r="AP233" s="166"/>
      <c r="AQ233" s="166"/>
      <c r="AR233" s="166"/>
      <c r="AS233" s="166"/>
      <c r="AT233" s="166"/>
      <c r="AU233" s="166"/>
      <c r="AV233" s="166"/>
      <c r="AW233" s="166"/>
      <c r="AX233" s="166"/>
      <c r="AY233" s="166"/>
      <c r="AZ233" s="166"/>
    </row>
    <row r="234" spans="1:53" ht="14.25" customHeight="1" x14ac:dyDescent="0.2">
      <c r="A234" s="165"/>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c r="AA234" s="166"/>
      <c r="AB234" s="166"/>
      <c r="AC234" s="166"/>
      <c r="AD234" s="166"/>
      <c r="AE234" s="166"/>
      <c r="AF234" s="166"/>
      <c r="AG234" s="167"/>
      <c r="AH234" s="166"/>
      <c r="AI234" s="167"/>
      <c r="AJ234" s="167"/>
      <c r="AK234" s="166"/>
      <c r="AL234" s="166"/>
      <c r="AM234" s="166"/>
      <c r="AN234" s="166"/>
      <c r="AO234" s="166"/>
      <c r="AP234" s="166"/>
      <c r="AQ234" s="166"/>
      <c r="AR234" s="166"/>
      <c r="AS234" s="166"/>
      <c r="AT234" s="166"/>
      <c r="AU234" s="166"/>
      <c r="AV234" s="166"/>
      <c r="AW234" s="166"/>
      <c r="AX234" s="166"/>
      <c r="AY234" s="166"/>
      <c r="AZ234" s="166"/>
    </row>
    <row r="235" spans="1:53" ht="13.5" customHeight="1" x14ac:dyDescent="0.2">
      <c r="A235" s="165"/>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7"/>
      <c r="AH235" s="166"/>
      <c r="AI235" s="167"/>
      <c r="AJ235" s="167"/>
      <c r="AK235" s="166"/>
      <c r="AL235" s="166"/>
      <c r="AM235" s="166"/>
      <c r="AN235" s="166"/>
      <c r="AO235" s="166"/>
      <c r="AP235" s="166"/>
      <c r="AQ235" s="166"/>
      <c r="AR235" s="166"/>
      <c r="AS235" s="166"/>
      <c r="AT235" s="166"/>
      <c r="AU235" s="166"/>
      <c r="AV235" s="166"/>
      <c r="AW235" s="166"/>
      <c r="AX235" s="166"/>
      <c r="AY235" s="166"/>
      <c r="AZ235" s="166"/>
    </row>
    <row r="236" spans="1:53" ht="14.25" customHeight="1" x14ac:dyDescent="0.2">
      <c r="A236" s="165"/>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c r="AA236" s="166"/>
      <c r="AB236" s="166"/>
      <c r="AC236" s="166"/>
      <c r="AD236" s="166"/>
      <c r="AE236" s="166"/>
      <c r="AF236" s="166"/>
      <c r="AG236" s="167"/>
      <c r="AH236" s="166"/>
      <c r="AI236" s="167"/>
      <c r="AJ236" s="167"/>
      <c r="AK236" s="166"/>
      <c r="AL236" s="166"/>
      <c r="AM236" s="166"/>
      <c r="AN236" s="166"/>
      <c r="AO236" s="166"/>
      <c r="AP236" s="166"/>
      <c r="AQ236" s="166"/>
      <c r="AR236" s="166"/>
      <c r="AS236" s="166"/>
      <c r="AT236" s="166"/>
      <c r="AU236" s="166"/>
      <c r="AV236" s="166"/>
      <c r="AW236" s="166"/>
      <c r="AX236" s="166"/>
      <c r="AY236" s="166"/>
      <c r="AZ236" s="166"/>
    </row>
    <row r="237" spans="1:53" ht="14.25" customHeight="1" x14ac:dyDescent="0.2">
      <c r="A237" s="110" t="s">
        <v>173</v>
      </c>
      <c r="B237" s="58">
        <f>calculator!B4</f>
        <v>1.22</v>
      </c>
    </row>
    <row r="238" spans="1:53" x14ac:dyDescent="0.2">
      <c r="A238" s="59" t="s">
        <v>26</v>
      </c>
      <c r="B238" s="168">
        <f>IF(B237=1,0,IF(B237=0,100000000,IF(B237&gt;1,(B237-1)/(B237+1),IF(B237&lt;0,10^(B237/20),B237))))</f>
        <v>9.90990990990991E-2</v>
      </c>
      <c r="C238" s="169"/>
    </row>
    <row r="239" spans="1:53" x14ac:dyDescent="0.2">
      <c r="A239" s="59" t="s">
        <v>29</v>
      </c>
      <c r="B239" s="168">
        <f>(C239-1)/(C239+1)</f>
        <v>8.675799086757989E-2</v>
      </c>
      <c r="C239" s="58">
        <f>INDEX(A9:BB49, MATCH(calculator!B12,A9:A49,1), MATCH(calculator!B5,A9:BB9,0))</f>
        <v>1.19</v>
      </c>
    </row>
    <row r="240" spans="1:53" x14ac:dyDescent="0.2">
      <c r="A240" s="59" t="s">
        <v>139</v>
      </c>
      <c r="B240" s="168">
        <f>(C240-1)/(C240+1)</f>
        <v>6.1032863849765209E-2</v>
      </c>
      <c r="C240" s="58">
        <f>INDEX(A9:BB49, MATCH(0.05,A9:A49,1), MATCH(calculator!B5,A9:BB9,0))</f>
        <v>1.1299999999999999</v>
      </c>
    </row>
    <row r="241" spans="1:27" x14ac:dyDescent="0.2">
      <c r="A241" s="59" t="s">
        <v>52</v>
      </c>
      <c r="B241" s="170">
        <f>HLOOKUP(calculator!B11,Data!B248:D250,3)</f>
        <v>2.9126213592233035E-2</v>
      </c>
    </row>
    <row r="242" spans="1:27" x14ac:dyDescent="0.2">
      <c r="A242" s="59" t="s">
        <v>30</v>
      </c>
      <c r="B242" s="60">
        <f>INDEX(A138:E149, MATCH(calculator!B14,A138:A149,1), MATCH(calculator!B15,A138:E138,0))</f>
        <v>5.5</v>
      </c>
    </row>
    <row r="243" spans="1:27" x14ac:dyDescent="0.2">
      <c r="A243" s="59"/>
      <c r="B243" s="60"/>
    </row>
    <row r="244" spans="1:27" x14ac:dyDescent="0.2">
      <c r="A244" s="110" t="s">
        <v>173</v>
      </c>
      <c r="B244" s="58">
        <f>calculator!B6</f>
        <v>1.1000000000000001</v>
      </c>
    </row>
    <row r="245" spans="1:27" x14ac:dyDescent="0.2">
      <c r="A245" s="59" t="s">
        <v>162</v>
      </c>
      <c r="B245" s="168">
        <f>IF(B244=1,0,IF(B244=0,100000000,IF(B244&gt;1,(B244-1)/(B244+1),IF(B244&lt;0,10^(B244/20),B244))))</f>
        <v>4.7619047619047658E-2</v>
      </c>
    </row>
    <row r="246" spans="1:27" x14ac:dyDescent="0.2">
      <c r="A246" s="59"/>
      <c r="B246" s="60"/>
    </row>
    <row r="248" spans="1:27" x14ac:dyDescent="0.2">
      <c r="A248" s="59" t="s">
        <v>51</v>
      </c>
      <c r="B248" s="165" t="s">
        <v>45</v>
      </c>
      <c r="C248" s="165" t="s">
        <v>46</v>
      </c>
      <c r="D248" s="60" t="s">
        <v>47</v>
      </c>
    </row>
    <row r="249" spans="1:27" x14ac:dyDescent="0.2">
      <c r="A249" s="171" t="s">
        <v>53</v>
      </c>
      <c r="B249" s="172">
        <v>1.06</v>
      </c>
      <c r="C249" s="60">
        <v>1.06</v>
      </c>
      <c r="D249" s="165">
        <v>1.08</v>
      </c>
    </row>
    <row r="250" spans="1:27" x14ac:dyDescent="0.2">
      <c r="A250" s="171" t="s">
        <v>52</v>
      </c>
      <c r="B250" s="168">
        <f>(B249-1)/(B249+1)</f>
        <v>2.9126213592233035E-2</v>
      </c>
      <c r="C250" s="168">
        <f>(C249-1)/(C249+1)</f>
        <v>2.9126213592233035E-2</v>
      </c>
      <c r="D250" s="168">
        <f>(D249-1)/(D249+1)</f>
        <v>3.8461538461538491E-2</v>
      </c>
    </row>
    <row r="252" spans="1:27" x14ac:dyDescent="0.2">
      <c r="A252" s="110" t="s">
        <v>172</v>
      </c>
      <c r="B252" s="173">
        <f>3^0.5</f>
        <v>1.7320508075688772</v>
      </c>
    </row>
    <row r="253" spans="1:27" x14ac:dyDescent="0.2">
      <c r="A253" s="58" t="s">
        <v>15</v>
      </c>
      <c r="B253" s="58">
        <v>2</v>
      </c>
    </row>
    <row r="254" spans="1:27" x14ac:dyDescent="0.2">
      <c r="B254" s="173"/>
    </row>
    <row r="255" spans="1:27" x14ac:dyDescent="0.2">
      <c r="A255" s="59" t="s">
        <v>140</v>
      </c>
      <c r="B255" s="59" t="s">
        <v>154</v>
      </c>
      <c r="C255" s="59" t="s">
        <v>156</v>
      </c>
      <c r="D255" s="59" t="s">
        <v>155</v>
      </c>
      <c r="E255" s="59" t="s">
        <v>181</v>
      </c>
      <c r="F255" s="59" t="s">
        <v>191</v>
      </c>
      <c r="W255" s="58"/>
      <c r="X255" s="58"/>
      <c r="Y255" s="58"/>
      <c r="Z255" s="58"/>
      <c r="AA255" s="58"/>
    </row>
    <row r="256" spans="1:27" x14ac:dyDescent="0.2">
      <c r="A256" s="58" t="s">
        <v>141</v>
      </c>
      <c r="B256" s="171" t="s">
        <v>148</v>
      </c>
      <c r="C256" s="58">
        <v>0.71199999999999997</v>
      </c>
      <c r="D256" s="58">
        <v>1</v>
      </c>
      <c r="E256" s="58">
        <v>0</v>
      </c>
      <c r="F256" s="58">
        <v>1</v>
      </c>
    </row>
    <row r="257" spans="1:6" x14ac:dyDescent="0.2">
      <c r="A257" s="58" t="s">
        <v>142</v>
      </c>
      <c r="B257" s="171" t="s">
        <v>150</v>
      </c>
      <c r="C257" s="58">
        <v>1</v>
      </c>
      <c r="D257" s="58">
        <f>1/SQRT(0.95)</f>
        <v>1.0259783520851542</v>
      </c>
      <c r="E257" s="58">
        <v>0</v>
      </c>
      <c r="F257" s="58">
        <v>0</v>
      </c>
    </row>
    <row r="258" spans="1:6" x14ac:dyDescent="0.2">
      <c r="A258" s="58" t="s">
        <v>143</v>
      </c>
      <c r="B258" s="171" t="s">
        <v>151</v>
      </c>
      <c r="C258" s="58">
        <v>1.2689999999999999</v>
      </c>
      <c r="D258" s="58">
        <f>1/SQRT(0.8)</f>
        <v>1.1180339887498949</v>
      </c>
      <c r="E258" s="58">
        <v>0</v>
      </c>
      <c r="F258" s="58">
        <v>0</v>
      </c>
    </row>
    <row r="259" spans="1:6" x14ac:dyDescent="0.2">
      <c r="A259" s="58" t="s">
        <v>144</v>
      </c>
      <c r="B259" s="171" t="s">
        <v>152</v>
      </c>
      <c r="C259" s="58">
        <v>2.0790000000000002</v>
      </c>
      <c r="D259" s="58">
        <f>1/SQRT(0.5)</f>
        <v>1.4142135623730949</v>
      </c>
      <c r="E259" s="58">
        <v>0</v>
      </c>
      <c r="F259" s="58">
        <v>0</v>
      </c>
    </row>
    <row r="260" spans="1:6" x14ac:dyDescent="0.2">
      <c r="A260" s="58" t="s">
        <v>145</v>
      </c>
      <c r="B260" s="171" t="s">
        <v>153</v>
      </c>
      <c r="C260" s="58">
        <v>1.9530000000000001</v>
      </c>
      <c r="D260" s="58">
        <f>3/2</f>
        <v>1.5</v>
      </c>
      <c r="E260" s="58">
        <v>0</v>
      </c>
      <c r="F260" s="58">
        <v>0</v>
      </c>
    </row>
    <row r="261" spans="1:6" x14ac:dyDescent="0.2">
      <c r="A261" s="58" t="s">
        <v>146</v>
      </c>
      <c r="B261" s="171" t="s">
        <v>149</v>
      </c>
      <c r="C261" s="58">
        <v>1</v>
      </c>
      <c r="D261" s="58">
        <v>1</v>
      </c>
      <c r="E261" s="58">
        <v>1</v>
      </c>
      <c r="F261" s="58">
        <v>1</v>
      </c>
    </row>
    <row r="263" spans="1:6" x14ac:dyDescent="0.2">
      <c r="A263" s="59" t="s">
        <v>163</v>
      </c>
      <c r="B263" s="59" t="s">
        <v>157</v>
      </c>
      <c r="C263" s="59" t="s">
        <v>158</v>
      </c>
      <c r="D263" s="59" t="s">
        <v>180</v>
      </c>
    </row>
    <row r="264" spans="1:6" x14ac:dyDescent="0.2">
      <c r="A264" s="174" t="s">
        <v>189</v>
      </c>
      <c r="B264" s="58">
        <f>VLOOKUP(calculator!D4,A256:C261,3,FALSE)</f>
        <v>0.71199999999999997</v>
      </c>
      <c r="C264" s="58">
        <f>1/SQRT(LN(20))</f>
        <v>0.57776137002687711</v>
      </c>
      <c r="D264" s="58">
        <f>C264*B264</f>
        <v>0.41136609545913649</v>
      </c>
    </row>
    <row r="265" spans="1:6" x14ac:dyDescent="0.2">
      <c r="A265" s="173" t="s">
        <v>147</v>
      </c>
      <c r="B265" s="58">
        <v>1</v>
      </c>
      <c r="C265" s="58">
        <v>1</v>
      </c>
      <c r="D265" s="58">
        <f t="shared" ref="D265:D266" si="9">C265*B265</f>
        <v>1</v>
      </c>
    </row>
    <row r="266" spans="1:6" x14ac:dyDescent="0.2">
      <c r="A266" s="174" t="s">
        <v>202</v>
      </c>
      <c r="B266" s="58">
        <f>VLOOKUP(calculator!D4,A256:D261,4,FALSE)</f>
        <v>1</v>
      </c>
      <c r="C266" s="171">
        <f>1/SQRT(2)</f>
        <v>0.70710678118654746</v>
      </c>
      <c r="D266" s="58">
        <f t="shared" si="9"/>
        <v>0.70710678118654746</v>
      </c>
    </row>
    <row r="267" spans="1:6" x14ac:dyDescent="0.2">
      <c r="A267" s="173"/>
      <c r="C267" s="171"/>
    </row>
    <row r="268" spans="1:6" x14ac:dyDescent="0.2">
      <c r="A268" s="59" t="s">
        <v>164</v>
      </c>
      <c r="B268" s="59" t="s">
        <v>157</v>
      </c>
      <c r="C268" s="59" t="s">
        <v>158</v>
      </c>
      <c r="D268" s="59" t="s">
        <v>180</v>
      </c>
      <c r="E268" s="59" t="s">
        <v>181</v>
      </c>
    </row>
    <row r="269" spans="1:6" x14ac:dyDescent="0.2">
      <c r="A269" s="174" t="s">
        <v>189</v>
      </c>
      <c r="B269" s="58">
        <f>VLOOKUP(IF(A280=1,calculator!D5,calculator!D6),A256:C261,3,FALSE)</f>
        <v>0.71199999999999997</v>
      </c>
      <c r="C269" s="58">
        <f>1/SQRT(LN(20))</f>
        <v>0.57776137002687711</v>
      </c>
      <c r="D269" s="58">
        <f>C269*B269</f>
        <v>0.41136609545913649</v>
      </c>
      <c r="E269" s="58">
        <v>1</v>
      </c>
    </row>
    <row r="270" spans="1:6" x14ac:dyDescent="0.2">
      <c r="A270" s="173" t="s">
        <v>147</v>
      </c>
      <c r="B270" s="58">
        <v>1</v>
      </c>
      <c r="C270" s="58">
        <v>1</v>
      </c>
      <c r="D270" s="58">
        <f t="shared" ref="D270:D271" si="10">C270*B270</f>
        <v>1</v>
      </c>
      <c r="E270" s="58">
        <v>0</v>
      </c>
    </row>
    <row r="271" spans="1:6" x14ac:dyDescent="0.2">
      <c r="A271" s="174" t="s">
        <v>202</v>
      </c>
      <c r="B271" s="58">
        <f>VLOOKUP(IF(A280=1,calculator!D5,calculator!D6),A256:D261,4,FALSE)</f>
        <v>1</v>
      </c>
      <c r="C271" s="171">
        <f>1/SQRT(2)</f>
        <v>0.70710678118654746</v>
      </c>
      <c r="D271" s="58">
        <f t="shared" si="10"/>
        <v>0.70710678118654746</v>
      </c>
      <c r="E271" s="58">
        <v>1</v>
      </c>
    </row>
    <row r="272" spans="1:6" x14ac:dyDescent="0.2">
      <c r="A272" s="173"/>
      <c r="C272" s="171"/>
    </row>
    <row r="273" spans="1:4" x14ac:dyDescent="0.2">
      <c r="A273" s="59" t="s">
        <v>165</v>
      </c>
      <c r="B273" s="59" t="s">
        <v>157</v>
      </c>
      <c r="C273" s="59" t="s">
        <v>158</v>
      </c>
      <c r="D273" s="59" t="s">
        <v>180</v>
      </c>
    </row>
    <row r="274" spans="1:4" x14ac:dyDescent="0.2">
      <c r="A274" s="174" t="s">
        <v>189</v>
      </c>
      <c r="B274" s="58">
        <f>VLOOKUP(calculator!D5,A256:C261,3,FALSE)</f>
        <v>0.71199999999999997</v>
      </c>
      <c r="C274" s="58">
        <f>1/SQRT(LN(20))</f>
        <v>0.57776137002687711</v>
      </c>
      <c r="D274" s="58">
        <f>C274*B274</f>
        <v>0.41136609545913649</v>
      </c>
    </row>
    <row r="275" spans="1:4" x14ac:dyDescent="0.2">
      <c r="A275" s="173" t="s">
        <v>147</v>
      </c>
      <c r="B275" s="58">
        <v>1</v>
      </c>
      <c r="C275" s="58">
        <v>1</v>
      </c>
      <c r="D275" s="58">
        <f t="shared" ref="D275:D276" si="11">C275*B275</f>
        <v>1</v>
      </c>
    </row>
    <row r="276" spans="1:4" x14ac:dyDescent="0.2">
      <c r="A276" s="174" t="s">
        <v>202</v>
      </c>
      <c r="B276" s="58">
        <f>VLOOKUP(calculator!D5,A256:D261,4,FALSE)</f>
        <v>1</v>
      </c>
      <c r="C276" s="171">
        <f>1/SQRT(2)</f>
        <v>0.70710678118654746</v>
      </c>
      <c r="D276" s="58">
        <f t="shared" si="11"/>
        <v>0.70710678118654746</v>
      </c>
    </row>
    <row r="277" spans="1:4" x14ac:dyDescent="0.2">
      <c r="A277" s="173"/>
      <c r="C277" s="171"/>
    </row>
    <row r="278" spans="1:4" x14ac:dyDescent="0.2">
      <c r="A278" s="173"/>
      <c r="C278" s="171"/>
    </row>
    <row r="279" spans="1:4" x14ac:dyDescent="0.2">
      <c r="A279" s="175" t="s">
        <v>161</v>
      </c>
      <c r="C279" s="171"/>
    </row>
    <row r="280" spans="1:4" x14ac:dyDescent="0.2">
      <c r="A280" s="173">
        <v>2</v>
      </c>
      <c r="C280" s="171"/>
    </row>
    <row r="282" spans="1:4" x14ac:dyDescent="0.2">
      <c r="A282" s="59" t="s">
        <v>102</v>
      </c>
    </row>
    <row r="283" spans="1:4" x14ac:dyDescent="0.2">
      <c r="A283" s="176" t="s">
        <v>58</v>
      </c>
      <c r="B283" s="58" t="str">
        <f>IF(OR(calculator!$B$12&gt;18,calculator!$B$12&lt;0.01),"Out of sensor freq range!"," ")</f>
        <v xml:space="preserve"> </v>
      </c>
    </row>
    <row r="284" spans="1:4" x14ac:dyDescent="0.2">
      <c r="A284" s="176" t="s">
        <v>67</v>
      </c>
      <c r="B284" s="58" t="str">
        <f>IF(OR(calculator!$B$12&gt;18,calculator!$B$12&lt;0.01),"Out of sensor freq range!"," ")</f>
        <v xml:space="preserve"> </v>
      </c>
    </row>
    <row r="285" spans="1:4" x14ac:dyDescent="0.2">
      <c r="A285" s="176" t="s">
        <v>69</v>
      </c>
      <c r="B285" s="58" t="str">
        <f>IF(OR(calculator!$B$12&gt;18,calculator!$B$12&lt;0.01),"Out of sensor freq range!"," ")</f>
        <v xml:space="preserve"> </v>
      </c>
    </row>
    <row r="286" spans="1:4" x14ac:dyDescent="0.2">
      <c r="A286" s="176" t="s">
        <v>74</v>
      </c>
      <c r="B286" s="58" t="str">
        <f>IF(OR(calculator!$B$12&gt;18,calculator!$B$12&lt;0.01),"Out of sensor freq range!"," ")</f>
        <v xml:space="preserve"> </v>
      </c>
    </row>
    <row r="287" spans="1:4" x14ac:dyDescent="0.2">
      <c r="A287" s="176" t="s">
        <v>59</v>
      </c>
      <c r="B287" s="58" t="str">
        <f>IF(OR(calculator!$B$12&gt;4.2,calculator!$B$12&lt;0.0001),"Out of sensor freq range!"," ")</f>
        <v xml:space="preserve"> </v>
      </c>
    </row>
    <row r="288" spans="1:4" x14ac:dyDescent="0.2">
      <c r="A288" s="176" t="s">
        <v>68</v>
      </c>
      <c r="B288" s="58" t="str">
        <f>IF(OR(calculator!$B$12&gt;4.2,calculator!$B$12&lt;0.0001),"Out of sensor freq range!"," ")</f>
        <v xml:space="preserve"> </v>
      </c>
    </row>
    <row r="289" spans="1:2" x14ac:dyDescent="0.2">
      <c r="A289" s="176" t="s">
        <v>75</v>
      </c>
      <c r="B289" s="58" t="str">
        <f>IF(OR(calculator!$B$12&gt;4.2,calculator!$B$12&lt;0.001),"Out of sensor freq range!"," ")</f>
        <v xml:space="preserve"> </v>
      </c>
    </row>
    <row r="290" spans="1:2" x14ac:dyDescent="0.2">
      <c r="A290" s="176" t="s">
        <v>61</v>
      </c>
      <c r="B290" s="58" t="str">
        <f>IF(OR(calculator!$B$12&gt;2,calculator!$B$12&lt;0.0001),"Out of sensor freq range!"," ")</f>
        <v xml:space="preserve"> </v>
      </c>
    </row>
    <row r="291" spans="1:2" x14ac:dyDescent="0.2">
      <c r="A291" s="176" t="s">
        <v>60</v>
      </c>
      <c r="B291" s="58" t="str">
        <f>IF(OR(calculator!$B$12&gt;26.5,calculator!$B$12&lt;0.05),"Out of sensor freq range!"," ")</f>
        <v xml:space="preserve"> </v>
      </c>
    </row>
    <row r="292" spans="1:2" x14ac:dyDescent="0.2">
      <c r="A292" s="176" t="s">
        <v>76</v>
      </c>
      <c r="B292" s="58" t="str">
        <f>IF(OR(calculator!$B$12&gt;33,calculator!$B$12&lt;0.05),"Out of sensor freq range!"," ")</f>
        <v xml:space="preserve"> </v>
      </c>
    </row>
    <row r="293" spans="1:2" x14ac:dyDescent="0.2">
      <c r="A293" s="176" t="s">
        <v>70</v>
      </c>
      <c r="B293" s="58" t="str">
        <f>IF(OR(calculator!$B$12&gt;26.5,calculator!$B$12&lt;0.05),"Out of sensor freq range!"," ")</f>
        <v xml:space="preserve"> </v>
      </c>
    </row>
    <row r="294" spans="1:2" x14ac:dyDescent="0.2">
      <c r="A294" s="176" t="s">
        <v>77</v>
      </c>
      <c r="B294" s="58" t="str">
        <f>IF(OR(calculator!$B$12&gt;33,calculator!$B$12&lt;0.05),"Out of sensor freq range!"," ")</f>
        <v xml:space="preserve"> </v>
      </c>
    </row>
    <row r="295" spans="1:2" x14ac:dyDescent="0.2">
      <c r="A295" s="177" t="s">
        <v>62</v>
      </c>
      <c r="B295" s="58" t="str">
        <f>IF(OR(calculator!$B$12&gt;50,calculator!$B$12&lt;0.05),"Out of sensor freq range!"," ")</f>
        <v xml:space="preserve"> </v>
      </c>
    </row>
    <row r="296" spans="1:2" x14ac:dyDescent="0.2">
      <c r="A296" s="176" t="s">
        <v>71</v>
      </c>
      <c r="B296" s="58" t="str">
        <f>IF(OR(calculator!$B$12&gt;50,calculator!$B$12&lt;0.05),"Out of sensor freq range!"," ")</f>
        <v xml:space="preserve"> </v>
      </c>
    </row>
    <row r="297" spans="1:2" x14ac:dyDescent="0.2">
      <c r="A297" s="177" t="s">
        <v>78</v>
      </c>
      <c r="B297" s="58" t="str">
        <f>IF(OR(calculator!$B$12&gt;18,calculator!$B$12&lt;0.01),"Out of sensor freq range!"," ")</f>
        <v xml:space="preserve"> </v>
      </c>
    </row>
    <row r="298" spans="1:2" x14ac:dyDescent="0.2">
      <c r="A298" s="177" t="s">
        <v>79</v>
      </c>
      <c r="B298" s="58" t="str">
        <f>IF(OR(calculator!$B$12&gt;26.5,calculator!$B$12&lt;0.05),"Out of sensor freq range!"," ")</f>
        <v xml:space="preserve"> </v>
      </c>
    </row>
    <row r="299" spans="1:2" x14ac:dyDescent="0.2">
      <c r="A299" s="177" t="s">
        <v>80</v>
      </c>
      <c r="B299" s="58" t="str">
        <f>IF(OR(calculator!$B$12&gt;18,calculator!$B$12&lt;0.01),"Out of sensor freq range!"," ")</f>
        <v xml:space="preserve"> </v>
      </c>
    </row>
    <row r="300" spans="1:2" x14ac:dyDescent="0.2">
      <c r="A300" s="177" t="s">
        <v>83</v>
      </c>
      <c r="B300" s="58" t="str">
        <f>IF(OR(calculator!$B$12&gt;18,calculator!$B$12&lt;0.01),"Out of sensor freq range!"," ")</f>
        <v xml:space="preserve"> </v>
      </c>
    </row>
    <row r="301" spans="1:2" x14ac:dyDescent="0.2">
      <c r="A301" s="177" t="s">
        <v>85</v>
      </c>
      <c r="B301" s="58" t="str">
        <f>IF(OR(calculator!$B$12&gt;18,calculator!$B$12&lt;0.01),"Out of sensor freq range!"," ")</f>
        <v xml:space="preserve"> </v>
      </c>
    </row>
    <row r="302" spans="1:2" x14ac:dyDescent="0.2">
      <c r="A302" s="177" t="s">
        <v>81</v>
      </c>
      <c r="B302" s="58" t="str">
        <f>IF(OR(calculator!$B$12&gt;6,calculator!$B$12&lt;0.01),"Out of sensor freq range!"," ")</f>
        <v xml:space="preserve"> </v>
      </c>
    </row>
    <row r="303" spans="1:2" x14ac:dyDescent="0.2">
      <c r="A303" s="177" t="s">
        <v>84</v>
      </c>
      <c r="B303" s="58" t="str">
        <f>IF(OR(calculator!$B$12&gt;6,calculator!$B$12&lt;0.01),"Out of sensor freq range!"," ")</f>
        <v xml:space="preserve"> </v>
      </c>
    </row>
    <row r="304" spans="1:2" x14ac:dyDescent="0.2">
      <c r="A304" s="177" t="s">
        <v>86</v>
      </c>
      <c r="B304" s="58" t="str">
        <f>IF(OR(calculator!$B$12&gt;6,calculator!$B$12&lt;0.01),"Out of sensor freq range!"," ")</f>
        <v xml:space="preserve"> </v>
      </c>
    </row>
    <row r="305" spans="1:2" x14ac:dyDescent="0.2">
      <c r="A305" s="177" t="s">
        <v>82</v>
      </c>
      <c r="B305" s="58" t="str">
        <f>IF(OR(calculator!$B$12&gt;6,calculator!$B$12&lt;0.000009),"Out of sensor freq range!"," ")</f>
        <v xml:space="preserve"> </v>
      </c>
    </row>
    <row r="306" spans="1:2" x14ac:dyDescent="0.2">
      <c r="A306" s="127" t="s">
        <v>48</v>
      </c>
      <c r="B306" s="58" t="str">
        <f>IF(OR(calculator!B12&gt;18, calculator!B12&lt;0.01),"Out of sensor freq range!"," ")</f>
        <v xml:space="preserve"> </v>
      </c>
    </row>
    <row r="307" spans="1:2" x14ac:dyDescent="0.2">
      <c r="A307" s="127" t="s">
        <v>54</v>
      </c>
      <c r="B307" s="58" t="str">
        <f>IF(OR(calculator!B12&gt;18, calculator!B12&lt;0.01),"Out of sensor freq range!"," ")</f>
        <v xml:space="preserve"> </v>
      </c>
    </row>
    <row r="308" spans="1:2" x14ac:dyDescent="0.2">
      <c r="A308" s="178" t="s">
        <v>112</v>
      </c>
      <c r="B308" s="58" t="str">
        <f>IF(OR(calculator!B12&gt;18, calculator!B12&lt;0.01),"Out of sensor freq range!"," ")</f>
        <v xml:space="preserve"> </v>
      </c>
    </row>
    <row r="309" spans="1:2" x14ac:dyDescent="0.2">
      <c r="A309" s="178" t="s">
        <v>119</v>
      </c>
      <c r="B309" s="58" t="str">
        <f>IF(OR(calculator!B12&gt;18, calculator!B12&lt;0.01),"Out of sensor freq range!"," ")</f>
        <v xml:space="preserve"> </v>
      </c>
    </row>
    <row r="310" spans="1:2" x14ac:dyDescent="0.2">
      <c r="A310" s="178" t="s">
        <v>114</v>
      </c>
      <c r="B310" s="58" t="str">
        <f>IF(OR(calculator!B12&gt;18, calculator!B12&lt;0.01),"Out of sensor freq range!"," ")</f>
        <v xml:space="preserve"> </v>
      </c>
    </row>
    <row r="311" spans="1:2" x14ac:dyDescent="0.2">
      <c r="A311" s="178" t="s">
        <v>121</v>
      </c>
      <c r="B311" s="58" t="str">
        <f>IF(OR(calculator!B12&gt;18, calculator!B12&lt;0.01),"Out of sensor freq range!"," ")</f>
        <v xml:space="preserve"> </v>
      </c>
    </row>
    <row r="312" spans="1:2" x14ac:dyDescent="0.2">
      <c r="A312" s="127" t="s">
        <v>49</v>
      </c>
      <c r="B312" s="58" t="str">
        <f>IF(OR(calculator!B12&gt;6,calculator!B12&lt;0.0001),"Out of sensor freq range!"," ")</f>
        <v xml:space="preserve"> </v>
      </c>
    </row>
    <row r="313" spans="1:2" x14ac:dyDescent="0.2">
      <c r="A313" s="127" t="s">
        <v>55</v>
      </c>
      <c r="B313" s="58" t="str">
        <f>IF(OR(calculator!$B$12&gt;6,calculator!$B$12&lt;0.0001),"Out of sensor freq range!"," ")</f>
        <v xml:space="preserve"> </v>
      </c>
    </row>
    <row r="314" spans="1:2" x14ac:dyDescent="0.2">
      <c r="A314" s="178" t="s">
        <v>113</v>
      </c>
      <c r="B314" s="58" t="str">
        <f>IF(OR(calculator!B12&gt;6,calculator!B12&lt;0.0001),"Out of sensor freq range!"," ")</f>
        <v xml:space="preserve"> </v>
      </c>
    </row>
    <row r="315" spans="1:2" x14ac:dyDescent="0.2">
      <c r="A315" s="178" t="s">
        <v>120</v>
      </c>
      <c r="B315" s="58" t="str">
        <f>IF(OR(calculator!B12&gt;6,calculator!B12&lt;0.0001),"Out of sensor freq range!"," ")</f>
        <v xml:space="preserve"> </v>
      </c>
    </row>
    <row r="316" spans="1:2" x14ac:dyDescent="0.2">
      <c r="A316" s="178" t="s">
        <v>115</v>
      </c>
      <c r="B316" s="58" t="str">
        <f>IF(OR(calculator!B12&gt;6,calculator!B12&lt;0.0001),"Out of sensor freq range!"," ")</f>
        <v xml:space="preserve"> </v>
      </c>
    </row>
    <row r="317" spans="1:2" x14ac:dyDescent="0.2">
      <c r="A317" s="178" t="s">
        <v>122</v>
      </c>
      <c r="B317" s="58" t="str">
        <f>IF(OR(calculator!B12&gt;6,calculator!B12&lt;0.0001),"Out of sensor freq range!"," ")</f>
        <v xml:space="preserve"> </v>
      </c>
    </row>
    <row r="318" spans="1:2" x14ac:dyDescent="0.2">
      <c r="A318" s="127" t="s">
        <v>50</v>
      </c>
      <c r="B318" s="58" t="str">
        <f>IF(OR(calculator!B12&gt;33,calculator!B12&lt;0.01),"Out of sensor freq range!"," ")</f>
        <v xml:space="preserve"> </v>
      </c>
    </row>
    <row r="319" spans="1:2" x14ac:dyDescent="0.2">
      <c r="A319" s="62" t="s">
        <v>56</v>
      </c>
      <c r="B319" s="58" t="str">
        <f>IF(OR(calculator!$B$12&gt;33,calculator!$B$12&lt;0.01),"Out of sensor freq range!"," ")</f>
        <v xml:space="preserve"> </v>
      </c>
    </row>
    <row r="320" spans="1:2" x14ac:dyDescent="0.2">
      <c r="A320" s="179" t="s">
        <v>117</v>
      </c>
      <c r="B320" s="58" t="str">
        <f>IF(OR(calculator!B12&gt;50, calculator!B12&lt;33),"Out of sensor freq range!"," ")</f>
        <v>Out of sensor freq range!</v>
      </c>
    </row>
    <row r="321" spans="1:2" x14ac:dyDescent="0.2">
      <c r="A321" s="179" t="s">
        <v>124</v>
      </c>
      <c r="B321" s="58" t="str">
        <f>IF(OR(calculator!B12&gt;50, calculator!B12&lt;33),"Out of sensor freq range!"," ")</f>
        <v>Out of sensor freq range!</v>
      </c>
    </row>
    <row r="322" spans="1:2" x14ac:dyDescent="0.2">
      <c r="A322" s="179" t="s">
        <v>116</v>
      </c>
      <c r="B322" s="58" t="str">
        <f>IF(OR(calculator!B12&gt;40, calculator!B12&lt;26.5),"Out of sensor freq range!"," ")</f>
        <v>Out of sensor freq range!</v>
      </c>
    </row>
    <row r="323" spans="1:2" x14ac:dyDescent="0.2">
      <c r="A323" s="179" t="s">
        <v>123</v>
      </c>
      <c r="B323" s="58" t="str">
        <f>IF(OR(calculator!B12&gt;40, calculator!B12&lt;26.5),"Out of sensor freq range!"," ")</f>
        <v>Out of sensor freq range!</v>
      </c>
    </row>
    <row r="324" spans="1:2" x14ac:dyDescent="0.2">
      <c r="A324" s="179" t="s">
        <v>111</v>
      </c>
      <c r="B324" s="58" t="str">
        <f>IF(OR(calculator!B12&gt;50, calculator!B12&lt;0.05),"Out of sensor freq range!"," ")</f>
        <v xml:space="preserve"> </v>
      </c>
    </row>
    <row r="325" spans="1:2" x14ac:dyDescent="0.2">
      <c r="A325" s="179" t="s">
        <v>193</v>
      </c>
      <c r="B325" s="58" t="str">
        <f>IF(OR(calculator!B12&gt;70, calculator!B12&lt;0.01),"Out of sensor freq range!"," ")</f>
        <v xml:space="preserve"> </v>
      </c>
    </row>
    <row r="326" spans="1:2" x14ac:dyDescent="0.2">
      <c r="A326" s="179" t="s">
        <v>118</v>
      </c>
      <c r="B326" s="58" t="str">
        <f>IF(OR(calculator!B12&gt;50, calculator!B12&lt;0.05),"Out of sensor freq range!"," ")</f>
        <v xml:space="preserve"> </v>
      </c>
    </row>
    <row r="327" spans="1:2" x14ac:dyDescent="0.2">
      <c r="A327" s="180" t="s">
        <v>65</v>
      </c>
      <c r="B327" s="58" t="str">
        <f>IF(OR(calculator!$B$12&gt;50,calculator!$B$12&lt;33),"Out of sensor freq range!"," ")</f>
        <v>Out of sensor freq range!</v>
      </c>
    </row>
    <row r="328" spans="1:2" x14ac:dyDescent="0.2">
      <c r="A328" s="181" t="s">
        <v>73</v>
      </c>
      <c r="B328" s="58" t="str">
        <f>IF(OR(calculator!$B$12&gt;50,calculator!$B$12&lt;33),"Out of sensor freq range!"," ")</f>
        <v>Out of sensor freq range!</v>
      </c>
    </row>
    <row r="329" spans="1:2" x14ac:dyDescent="0.2">
      <c r="A329" s="180" t="s">
        <v>63</v>
      </c>
      <c r="B329" s="58" t="str">
        <f>IF(OR(calculator!$B$12&gt;40,calculator!$B$12&lt;26.5),"Out of sensor freq range!"," ")</f>
        <v>Out of sensor freq range!</v>
      </c>
    </row>
    <row r="330" spans="1:2" x14ac:dyDescent="0.2">
      <c r="A330" s="181" t="s">
        <v>72</v>
      </c>
      <c r="B330" s="58" t="str">
        <f>IF(OR(calculator!$B$12&gt;40,calculator!$B$12&lt;26.5),"Out of sensor freq range!"," ")</f>
        <v>Out of sensor freq range!</v>
      </c>
    </row>
    <row r="331" spans="1:2" x14ac:dyDescent="0.2">
      <c r="A331" s="181" t="s">
        <v>64</v>
      </c>
      <c r="B331" s="58" t="str">
        <f>IF(OR(calculator!$B$12&gt;75,calculator!$B$12&lt;50),"Out of sensor freq range!"," ")</f>
        <v>Out of sensor freq range!</v>
      </c>
    </row>
    <row r="332" spans="1:2" x14ac:dyDescent="0.2">
      <c r="A332" s="181" t="s">
        <v>66</v>
      </c>
      <c r="B332" s="58" t="str">
        <f>IF(OR(calculator!$B$12&gt;110,calculator!$B$12&lt;75),"Out of sensor freq range!"," ")</f>
        <v>Out of sensor freq range!</v>
      </c>
    </row>
    <row r="333" spans="1:2" x14ac:dyDescent="0.2">
      <c r="A333" s="176" t="s">
        <v>210</v>
      </c>
      <c r="B333" s="58" t="str">
        <f>IF(OR(calculator!$B$12&gt;90,calculator!$B$12&lt;60),"Out of sensor freq range!"," ")</f>
        <v>Out of sensor freq range!</v>
      </c>
    </row>
    <row r="334" spans="1:2" x14ac:dyDescent="0.2">
      <c r="A334" s="177" t="s">
        <v>211</v>
      </c>
      <c r="B334" s="58" t="str">
        <f>IF(OR(calculator!$B$12&gt;90,calculator!$B$12&lt;60),"Out of sensor freq range!"," ")</f>
        <v>Out of sensor freq range!</v>
      </c>
    </row>
    <row r="335" spans="1:2" x14ac:dyDescent="0.2">
      <c r="A335" s="177"/>
    </row>
    <row r="336" spans="1:2" x14ac:dyDescent="0.2">
      <c r="A336" s="177" t="s">
        <v>103</v>
      </c>
    </row>
    <row r="337" spans="1:2" x14ac:dyDescent="0.2">
      <c r="A337" s="176" t="s">
        <v>58</v>
      </c>
      <c r="B337" s="58" t="str">
        <f>IF(OR(calculator!$B$13&gt;20,calculator!$B$13&lt;-30),"Out of sensor power range!"," ")</f>
        <v xml:space="preserve"> </v>
      </c>
    </row>
    <row r="338" spans="1:2" x14ac:dyDescent="0.2">
      <c r="A338" s="176" t="s">
        <v>67</v>
      </c>
      <c r="B338" s="58" t="str">
        <f>IF(OR(calculator!$B$13&gt;44,calculator!$B$13&lt;0),"Out of sensor power range!"," ")</f>
        <v>Out of sensor power range!</v>
      </c>
    </row>
    <row r="339" spans="1:2" x14ac:dyDescent="0.2">
      <c r="A339" s="176" t="s">
        <v>69</v>
      </c>
      <c r="B339" s="58" t="str">
        <f>IF(OR(calculator!$B$13&gt;-20,calculator!$B$13&lt;-70),"Out of sensor power range!"," ")</f>
        <v>Out of sensor power range!</v>
      </c>
    </row>
    <row r="340" spans="1:2" x14ac:dyDescent="0.2">
      <c r="A340" s="176" t="s">
        <v>74</v>
      </c>
      <c r="B340" s="58" t="str">
        <f>IF(OR(calculator!$B$13&gt;35,calculator!$B$13&lt;-10),"Out of sensor power range!"," ")</f>
        <v>Out of sensor power range!</v>
      </c>
    </row>
    <row r="341" spans="1:2" x14ac:dyDescent="0.2">
      <c r="A341" s="176" t="s">
        <v>59</v>
      </c>
      <c r="B341" s="58" t="str">
        <f>IF(OR(calculator!$B$13&gt;20,calculator!$B$13&lt;-30),"Out of sensor power range!"," ")</f>
        <v xml:space="preserve"> </v>
      </c>
    </row>
    <row r="342" spans="1:2" x14ac:dyDescent="0.2">
      <c r="A342" s="176" t="s">
        <v>68</v>
      </c>
      <c r="B342" s="58" t="str">
        <f>IF(OR(calculator!$B$13&gt;44,calculator!$B$13&lt;0),"Out of sensor power range!"," ")</f>
        <v>Out of sensor power range!</v>
      </c>
    </row>
    <row r="343" spans="1:2" x14ac:dyDescent="0.2">
      <c r="A343" s="176" t="s">
        <v>75</v>
      </c>
      <c r="B343" s="58" t="str">
        <f>IF(OR(calculator!$B$13&gt;35,calculator!$B$13&lt;-10),"Out of sensor power range!"," ")</f>
        <v>Out of sensor power range!</v>
      </c>
    </row>
    <row r="344" spans="1:2" x14ac:dyDescent="0.2">
      <c r="A344" s="176" t="s">
        <v>61</v>
      </c>
      <c r="B344" s="58" t="str">
        <f>IF(OR(calculator!$B$13&gt;20,calculator!$B$13&lt;-30),"Out of sensor power range!"," ")</f>
        <v xml:space="preserve"> </v>
      </c>
    </row>
    <row r="345" spans="1:2" x14ac:dyDescent="0.2">
      <c r="A345" s="176" t="s">
        <v>60</v>
      </c>
      <c r="B345" s="58" t="str">
        <f>IF(OR(calculator!$B$13&gt;20,calculator!$B$13&lt;-30),"Out of sensor power range!"," ")</f>
        <v xml:space="preserve"> </v>
      </c>
    </row>
    <row r="346" spans="1:2" x14ac:dyDescent="0.2">
      <c r="A346" s="176" t="s">
        <v>76</v>
      </c>
      <c r="B346" s="58" t="str">
        <f>IF(OR(calculator!$B$13&gt;20,calculator!$B$13&lt;-30),"Out of sensor power range!"," ")</f>
        <v xml:space="preserve"> </v>
      </c>
    </row>
    <row r="347" spans="1:2" x14ac:dyDescent="0.2">
      <c r="A347" s="176" t="s">
        <v>70</v>
      </c>
      <c r="B347" s="58" t="str">
        <f>IF(OR(calculator!$B$13&gt;-20,calculator!$B$13&lt;-70),"Out of sensor power range!"," ")</f>
        <v>Out of sensor power range!</v>
      </c>
    </row>
    <row r="348" spans="1:2" x14ac:dyDescent="0.2">
      <c r="A348" s="176" t="s">
        <v>77</v>
      </c>
      <c r="B348" s="58" t="str">
        <f>IF(OR(calculator!$B$13&gt;-20,calculator!$B$13&lt;-70),"Out of sensor power range!"," ")</f>
        <v>Out of sensor power range!</v>
      </c>
    </row>
    <row r="349" spans="1:2" x14ac:dyDescent="0.2">
      <c r="A349" s="177" t="s">
        <v>62</v>
      </c>
      <c r="B349" s="58" t="str">
        <f>IF(OR(calculator!$B$13&gt;20,calculator!$B$13&lt;-30),"Out of sensor power range!"," ")</f>
        <v xml:space="preserve"> </v>
      </c>
    </row>
    <row r="350" spans="1:2" x14ac:dyDescent="0.2">
      <c r="A350" s="176" t="s">
        <v>71</v>
      </c>
      <c r="B350" s="58" t="str">
        <f>IF(OR(calculator!$B$13&gt;-20,calculator!$B$13&lt;-70),"Out of sensor power range!"," ")</f>
        <v>Out of sensor power range!</v>
      </c>
    </row>
    <row r="351" spans="1:2" x14ac:dyDescent="0.2">
      <c r="A351" s="177" t="s">
        <v>78</v>
      </c>
      <c r="B351" s="58" t="str">
        <f>IF(OR(calculator!$B$13&gt;20,calculator!$B$13&lt;-70),"Out of sensor power range!"," ")</f>
        <v xml:space="preserve"> </v>
      </c>
    </row>
    <row r="352" spans="1:2" x14ac:dyDescent="0.2">
      <c r="A352" s="177" t="s">
        <v>79</v>
      </c>
      <c r="B352" s="58" t="str">
        <f>IF(OR(calculator!$B$13&gt;20,calculator!$B$13&lt;-70),"Out of sensor power range!"," ")</f>
        <v xml:space="preserve"> </v>
      </c>
    </row>
    <row r="353" spans="1:2" x14ac:dyDescent="0.2">
      <c r="A353" s="177" t="s">
        <v>80</v>
      </c>
      <c r="B353" s="58" t="str">
        <f>IF(OR(calculator!$B$13&gt;20,calculator!$B$13&lt;-60),"Out of sensor power range!"," ")</f>
        <v xml:space="preserve"> </v>
      </c>
    </row>
    <row r="354" spans="1:2" x14ac:dyDescent="0.2">
      <c r="A354" s="177" t="s">
        <v>83</v>
      </c>
      <c r="B354" s="58" t="str">
        <f>IF(OR(calculator!$B$13&gt;44,calculator!$B$13&lt;-30),"Out of sensor power range!"," ")</f>
        <v xml:space="preserve"> </v>
      </c>
    </row>
    <row r="355" spans="1:2" x14ac:dyDescent="0.2">
      <c r="A355" s="177" t="s">
        <v>85</v>
      </c>
      <c r="B355" s="58" t="str">
        <f>IF(OR(calculator!$B$13&gt;30,calculator!$B$13&lt;-50),"Out of sensor fpower range!"," ")</f>
        <v xml:space="preserve"> </v>
      </c>
    </row>
    <row r="356" spans="1:2" x14ac:dyDescent="0.2">
      <c r="A356" s="177" t="s">
        <v>81</v>
      </c>
      <c r="B356" s="58" t="str">
        <f>IF(OR(calculator!$B$13&gt;20,calculator!$B$13&lt;-60),"Out of sensor power range!"," ")</f>
        <v xml:space="preserve"> </v>
      </c>
    </row>
    <row r="357" spans="1:2" x14ac:dyDescent="0.2">
      <c r="A357" s="177" t="s">
        <v>84</v>
      </c>
      <c r="B357" s="58" t="str">
        <f>IF(OR(calculator!$B$13&gt;44,calculator!$B$13&lt;-30),"Out of sensor power range!"," ")</f>
        <v xml:space="preserve"> </v>
      </c>
    </row>
    <row r="358" spans="1:2" x14ac:dyDescent="0.2">
      <c r="A358" s="177" t="s">
        <v>86</v>
      </c>
      <c r="B358" s="58" t="str">
        <f>IF(OR(calculator!$B$13&gt;30,calculator!$B$13&lt;-50),"Out of sensor power range!"," ")</f>
        <v xml:space="preserve"> </v>
      </c>
    </row>
    <row r="359" spans="1:2" x14ac:dyDescent="0.2">
      <c r="A359" s="177" t="s">
        <v>82</v>
      </c>
      <c r="B359" s="58" t="str">
        <f>IF(OR(calculator!$B$13&gt;20,calculator!$B$13&lt;-60),"Out of sensor power range!"," ")</f>
        <v xml:space="preserve"> </v>
      </c>
    </row>
    <row r="360" spans="1:2" x14ac:dyDescent="0.2">
      <c r="A360" s="127" t="s">
        <v>48</v>
      </c>
      <c r="B360" s="58" t="str">
        <f>IF(OR(calculator!$B$13&gt;20,calculator!$B$13&lt;-35),"Out of sensor power range!"," ")</f>
        <v xml:space="preserve"> </v>
      </c>
    </row>
    <row r="361" spans="1:2" x14ac:dyDescent="0.2">
      <c r="A361" s="127" t="s">
        <v>54</v>
      </c>
      <c r="B361" s="58" t="str">
        <f>IF(OR(calculator!$B$13&gt;20,calculator!$B$13&lt;-30),"Out of sensor power range!"," ")</f>
        <v xml:space="preserve"> </v>
      </c>
    </row>
    <row r="362" spans="1:2" x14ac:dyDescent="0.2">
      <c r="A362" s="178" t="s">
        <v>112</v>
      </c>
      <c r="B362" s="58" t="str">
        <f>IF(OR(calculator!$B$13&gt;44,calculator!$B$13&lt;-5),"Out of sensor power range!"," ")</f>
        <v>Out of sensor power range!</v>
      </c>
    </row>
    <row r="363" spans="1:2" x14ac:dyDescent="0.2">
      <c r="A363" s="178" t="s">
        <v>119</v>
      </c>
      <c r="B363" s="58" t="str">
        <f>IF(OR(calculator!$B$13&gt;44,calculator!$B$13&lt;0),"Out of sensor power range!"," ")</f>
        <v>Out of sensor power range!</v>
      </c>
    </row>
    <row r="364" spans="1:2" x14ac:dyDescent="0.2">
      <c r="A364" s="178" t="s">
        <v>114</v>
      </c>
      <c r="B364" s="58" t="str">
        <f>IF(OR(calculator!$B$13&gt;35,calculator!$B$13&lt;-15),"Out of sensor power range!"," ")</f>
        <v xml:space="preserve"> </v>
      </c>
    </row>
    <row r="365" spans="1:2" x14ac:dyDescent="0.2">
      <c r="A365" s="178" t="s">
        <v>121</v>
      </c>
      <c r="B365" s="58" t="str">
        <f>IF(OR(calculator!$B$13&gt;35,calculator!$B$13&lt;-10),"Out of sensor power range!"," ")</f>
        <v>Out of sensor power range!</v>
      </c>
    </row>
    <row r="366" spans="1:2" x14ac:dyDescent="0.2">
      <c r="A366" s="127" t="s">
        <v>49</v>
      </c>
      <c r="B366" s="58" t="str">
        <f>IF(OR(calculator!$B$13&gt;20,calculator!$B$13&lt;-35),"Out of sensor power range!"," ")</f>
        <v xml:space="preserve"> </v>
      </c>
    </row>
    <row r="367" spans="1:2" x14ac:dyDescent="0.2">
      <c r="A367" s="127" t="s">
        <v>55</v>
      </c>
      <c r="B367" s="58" t="str">
        <f>IF(OR(calculator!$B$13&gt;20,calculator!$B$13&lt;-30),"Out of sensor power range!"," ")</f>
        <v xml:space="preserve"> </v>
      </c>
    </row>
    <row r="368" spans="1:2" x14ac:dyDescent="0.2">
      <c r="A368" s="178" t="s">
        <v>113</v>
      </c>
      <c r="B368" s="58" t="str">
        <f>IF(OR(calculator!$B$13&gt;44,calculator!$B$13&lt;-5),"Out of sensor power range!"," ")</f>
        <v>Out of sensor power range!</v>
      </c>
    </row>
    <row r="369" spans="1:2" x14ac:dyDescent="0.2">
      <c r="A369" s="178" t="s">
        <v>120</v>
      </c>
      <c r="B369" s="58" t="str">
        <f>IF(OR(calculator!$B$13&gt;44,calculator!$B$13&lt;0),"Out of sensor power range!"," ")</f>
        <v>Out of sensor power range!</v>
      </c>
    </row>
    <row r="370" spans="1:2" x14ac:dyDescent="0.2">
      <c r="A370" s="178" t="s">
        <v>115</v>
      </c>
      <c r="B370" s="58" t="str">
        <f>IF(OR(calculator!$B$13&gt;35,calculator!$B$13&lt;-15),"Out of sensor power range!"," ")</f>
        <v xml:space="preserve"> </v>
      </c>
    </row>
    <row r="371" spans="1:2" x14ac:dyDescent="0.2">
      <c r="A371" s="178" t="s">
        <v>122</v>
      </c>
      <c r="B371" s="58" t="str">
        <f>IF(OR(calculator!$B$13&gt;35,calculator!$B$13&lt;-10),"Out of sensor power range!"," ")</f>
        <v>Out of sensor power range!</v>
      </c>
    </row>
    <row r="372" spans="1:2" x14ac:dyDescent="0.2">
      <c r="A372" s="127" t="s">
        <v>50</v>
      </c>
      <c r="B372" s="58" t="str">
        <f>IF(OR(calculator!$B$13&gt;20,calculator!$B$13&lt;-35),"Out of sensor freq range!"," ")</f>
        <v xml:space="preserve"> </v>
      </c>
    </row>
    <row r="373" spans="1:2" x14ac:dyDescent="0.2">
      <c r="A373" s="62" t="s">
        <v>56</v>
      </c>
      <c r="B373" s="58" t="str">
        <f>IF(OR(calculator!$B$13&gt;20,calculator!$B$13&lt;-30),"Out of sensor power range!"," ")</f>
        <v xml:space="preserve"> </v>
      </c>
    </row>
    <row r="374" spans="1:2" x14ac:dyDescent="0.2">
      <c r="A374" s="179" t="s">
        <v>117</v>
      </c>
      <c r="B374" s="58" t="str">
        <f>IF(OR(calculator!$B$13&gt;20,calculator!$B$13&lt;-35),"Out of sensor power range!"," ")</f>
        <v xml:space="preserve"> </v>
      </c>
    </row>
    <row r="375" spans="1:2" x14ac:dyDescent="0.2">
      <c r="A375" s="179" t="s">
        <v>124</v>
      </c>
      <c r="B375" s="58" t="str">
        <f>IF(OR(calculator!$B$13&gt;20,calculator!$B$13&lt;-30),"Out of sensor power range!"," ")</f>
        <v xml:space="preserve"> </v>
      </c>
    </row>
    <row r="376" spans="1:2" x14ac:dyDescent="0.2">
      <c r="A376" s="179" t="s">
        <v>116</v>
      </c>
      <c r="B376" s="58" t="str">
        <f>IF(OR(calculator!$B$13&gt;20,calculator!$B$13&lt;-35),"Out of sensor power range!"," ")</f>
        <v xml:space="preserve"> </v>
      </c>
    </row>
    <row r="377" spans="1:2" x14ac:dyDescent="0.2">
      <c r="A377" s="179" t="s">
        <v>123</v>
      </c>
      <c r="B377" s="58" t="str">
        <f>IF(OR(calculator!$B$13&gt;20,calculator!$B$13&lt;-30),"Out of sensor power range!"," ")</f>
        <v xml:space="preserve"> </v>
      </c>
    </row>
    <row r="378" spans="1:2" x14ac:dyDescent="0.2">
      <c r="A378" s="179" t="s">
        <v>111</v>
      </c>
      <c r="B378" s="58" t="str">
        <f>IF(OR(calculator!$B$13&gt;20,calculator!$B$13&lt;-35),"Out of sensor power range!"," ")</f>
        <v xml:space="preserve"> </v>
      </c>
    </row>
    <row r="379" spans="1:2" x14ac:dyDescent="0.2">
      <c r="A379" s="179" t="s">
        <v>193</v>
      </c>
      <c r="B379" s="58" t="str">
        <f>IF(OR(calculator!$B$13&gt;20,calculator!$B$13&lt;-35),"Out of sensor power range!"," ")</f>
        <v xml:space="preserve"> </v>
      </c>
    </row>
    <row r="380" spans="1:2" x14ac:dyDescent="0.2">
      <c r="A380" s="179" t="s">
        <v>118</v>
      </c>
      <c r="B380" s="58" t="str">
        <f>IF(OR(calculator!$B$13&gt;20,calculator!$B$13&lt;-30),"Out of sensor power range!"," ")</f>
        <v xml:space="preserve"> </v>
      </c>
    </row>
    <row r="381" spans="1:2" x14ac:dyDescent="0.2">
      <c r="A381" s="180" t="s">
        <v>65</v>
      </c>
      <c r="B381" s="58" t="str">
        <f>IF(OR(calculator!$B$13&gt;20,calculator!$B$13&lt;-30),"Out of sensor power range!"," ")</f>
        <v xml:space="preserve"> </v>
      </c>
    </row>
    <row r="382" spans="1:2" x14ac:dyDescent="0.2">
      <c r="A382" s="181" t="s">
        <v>73</v>
      </c>
      <c r="B382" s="58" t="str">
        <f>IF(OR(calculator!$B$13&gt;-20,calculator!$B$13&lt;-70),"Out of sensor power range!"," ")</f>
        <v>Out of sensor power range!</v>
      </c>
    </row>
    <row r="383" spans="1:2" x14ac:dyDescent="0.2">
      <c r="A383" s="180" t="s">
        <v>63</v>
      </c>
      <c r="B383" s="58" t="str">
        <f>IF(OR(calculator!$B$13&gt;20,calculator!$B$13&lt;-30),"Out of sensor power range!"," ")</f>
        <v xml:space="preserve"> </v>
      </c>
    </row>
    <row r="384" spans="1:2" x14ac:dyDescent="0.2">
      <c r="A384" s="181" t="s">
        <v>72</v>
      </c>
      <c r="B384" s="58" t="str">
        <f>IF(OR(calculator!$B$13&gt;-20,calculator!$B$13&lt;-70),"Out of sensor power range!"," ")</f>
        <v>Out of sensor power range!</v>
      </c>
    </row>
    <row r="385" spans="1:2" x14ac:dyDescent="0.2">
      <c r="A385" s="181" t="s">
        <v>64</v>
      </c>
      <c r="B385" s="58" t="str">
        <f>IF(OR(calculator!$B$13&gt;20,calculator!$B$13&lt;-30),"Out of sensor power range!"," ")</f>
        <v xml:space="preserve"> </v>
      </c>
    </row>
    <row r="386" spans="1:2" x14ac:dyDescent="0.2">
      <c r="A386" s="181" t="s">
        <v>66</v>
      </c>
      <c r="B386" s="58" t="str">
        <f>IF(OR(calculator!$B$13&gt;20,calculator!$B$13&lt;-30),"Out of sensor power range!"," ")</f>
        <v xml:space="preserve"> </v>
      </c>
    </row>
    <row r="387" spans="1:2" x14ac:dyDescent="0.2">
      <c r="A387" s="182" t="s">
        <v>210</v>
      </c>
      <c r="B387" s="58" t="str">
        <f>IF(OR(calculator!$B$13&gt;20,calculator!$B$13&lt;-30),"Out of sensor power range!"," ")</f>
        <v xml:space="preserve"> </v>
      </c>
    </row>
    <row r="388" spans="1:2" x14ac:dyDescent="0.2">
      <c r="A388" s="182" t="s">
        <v>211</v>
      </c>
      <c r="B388" s="58" t="str">
        <f>IF(OR(calculator!$B$13&gt;20,calculator!$B$13&lt;-60),"Out of sensor power range!"," ")</f>
        <v xml:space="preserve"> </v>
      </c>
    </row>
  </sheetData>
  <sheetProtection password="EC3E" sheet="1" objects="1" scenarios="1"/>
  <sortState ref="A296:B343">
    <sortCondition ref="A296:A343"/>
  </sortState>
  <phoneticPr fontId="14" type="noConversion"/>
  <pageMargins left="0.75"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36"/>
  <sheetViews>
    <sheetView zoomScaleNormal="100" workbookViewId="0">
      <selection activeCell="H30" sqref="H30"/>
    </sheetView>
  </sheetViews>
  <sheetFormatPr defaultRowHeight="12.75" x14ac:dyDescent="0.2"/>
  <cols>
    <col min="1" max="1" width="9.28515625" style="2" bestFit="1" customWidth="1"/>
    <col min="2" max="16384" width="9.140625" style="2"/>
  </cols>
  <sheetData>
    <row r="1" spans="1:2" x14ac:dyDescent="0.2">
      <c r="A1" s="54" t="s">
        <v>104</v>
      </c>
    </row>
    <row r="2" spans="1:2" x14ac:dyDescent="0.2">
      <c r="A2" s="56">
        <v>39763</v>
      </c>
      <c r="B2" s="2" t="s">
        <v>108</v>
      </c>
    </row>
    <row r="3" spans="1:2" x14ac:dyDescent="0.2">
      <c r="A3" s="2" t="s">
        <v>109</v>
      </c>
    </row>
    <row r="5" spans="1:2" x14ac:dyDescent="0.2">
      <c r="A5" s="56">
        <v>39889</v>
      </c>
      <c r="B5" s="2" t="s">
        <v>105</v>
      </c>
    </row>
    <row r="6" spans="1:2" x14ac:dyDescent="0.2">
      <c r="A6" s="2" t="s">
        <v>106</v>
      </c>
    </row>
    <row r="7" spans="1:2" x14ac:dyDescent="0.2">
      <c r="A7" s="2" t="s">
        <v>107</v>
      </c>
    </row>
    <row r="9" spans="1:2" x14ac:dyDescent="0.2">
      <c r="A9" s="56">
        <v>39927</v>
      </c>
      <c r="B9" s="2" t="s">
        <v>110</v>
      </c>
    </row>
    <row r="10" spans="1:2" x14ac:dyDescent="0.2">
      <c r="A10" s="2" t="s">
        <v>134</v>
      </c>
    </row>
    <row r="11" spans="1:2" x14ac:dyDescent="0.2">
      <c r="A11" s="2" t="s">
        <v>135</v>
      </c>
    </row>
    <row r="12" spans="1:2" x14ac:dyDescent="0.2">
      <c r="A12" s="2" t="s">
        <v>136</v>
      </c>
    </row>
    <row r="14" spans="1:2" x14ac:dyDescent="0.2">
      <c r="A14" s="56">
        <v>40122</v>
      </c>
      <c r="B14" s="55" t="s">
        <v>137</v>
      </c>
    </row>
    <row r="15" spans="1:2" x14ac:dyDescent="0.2">
      <c r="A15" s="55" t="s">
        <v>138</v>
      </c>
    </row>
    <row r="17" spans="1:2" x14ac:dyDescent="0.2">
      <c r="A17" s="57">
        <v>40597</v>
      </c>
      <c r="B17" s="3" t="s">
        <v>195</v>
      </c>
    </row>
    <row r="18" spans="1:2" x14ac:dyDescent="0.2">
      <c r="A18" s="55" t="s">
        <v>160</v>
      </c>
    </row>
    <row r="19" spans="1:2" x14ac:dyDescent="0.2">
      <c r="A19" s="3" t="s">
        <v>200</v>
      </c>
    </row>
    <row r="20" spans="1:2" x14ac:dyDescent="0.2">
      <c r="A20" s="3" t="s">
        <v>194</v>
      </c>
    </row>
    <row r="21" spans="1:2" x14ac:dyDescent="0.2">
      <c r="A21" s="3" t="s">
        <v>196</v>
      </c>
    </row>
    <row r="22" spans="1:2" x14ac:dyDescent="0.2">
      <c r="A22" s="3" t="s">
        <v>199</v>
      </c>
    </row>
    <row r="23" spans="1:2" x14ac:dyDescent="0.2">
      <c r="A23" s="3" t="s">
        <v>198</v>
      </c>
    </row>
    <row r="25" spans="1:2" x14ac:dyDescent="0.2">
      <c r="A25" s="56">
        <v>40637</v>
      </c>
      <c r="B25" s="3" t="s">
        <v>203</v>
      </c>
    </row>
    <row r="26" spans="1:2" x14ac:dyDescent="0.2">
      <c r="A26" s="3" t="s">
        <v>204</v>
      </c>
    </row>
    <row r="28" spans="1:2" x14ac:dyDescent="0.2">
      <c r="A28" s="56">
        <v>40725</v>
      </c>
      <c r="B28" s="3" t="s">
        <v>205</v>
      </c>
    </row>
    <row r="29" spans="1:2" x14ac:dyDescent="0.2">
      <c r="A29" s="3" t="s">
        <v>206</v>
      </c>
    </row>
    <row r="31" spans="1:2" x14ac:dyDescent="0.2">
      <c r="A31" s="56">
        <v>40869</v>
      </c>
      <c r="B31" s="3" t="s">
        <v>207</v>
      </c>
    </row>
    <row r="32" spans="1:2" x14ac:dyDescent="0.2">
      <c r="A32" s="3" t="s">
        <v>208</v>
      </c>
    </row>
    <row r="33" spans="1:2" x14ac:dyDescent="0.2">
      <c r="A33" s="3" t="s">
        <v>209</v>
      </c>
    </row>
    <row r="35" spans="1:2" x14ac:dyDescent="0.2">
      <c r="A35" s="56">
        <v>41703</v>
      </c>
      <c r="B35" s="3" t="s">
        <v>212</v>
      </c>
    </row>
    <row r="36" spans="1:2" x14ac:dyDescent="0.2">
      <c r="A36" s="3" t="s">
        <v>213</v>
      </c>
    </row>
  </sheetData>
  <sheetProtection password="EC3E" sheet="1" objects="1" scenarios="1"/>
  <phoneticPr fontId="1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calculator</vt:lpstr>
      <vt:lpstr>Data</vt:lpstr>
      <vt:lpstr>Revision history</vt:lpstr>
      <vt:lpstr>avg</vt:lpstr>
      <vt:lpstr>div</vt:lpstr>
      <vt:lpstr>divisor</vt:lpstr>
      <vt:lpstr>e</vt:lpstr>
      <vt:lpstr>Gamma50MHz</vt:lpstr>
      <vt:lpstr>GammaDistr</vt:lpstr>
      <vt:lpstr>GammaSensor</vt:lpstr>
      <vt:lpstr>GammaStyles</vt:lpstr>
      <vt:lpstr>mode</vt:lpstr>
      <vt:lpstr>Model</vt:lpstr>
      <vt:lpstr>name</vt:lpstr>
      <vt:lpstr>PowerMeter</vt:lpstr>
      <vt:lpstr>type</vt:lpstr>
    </vt:vector>
  </TitlesOfParts>
  <Company>Agilent Technologies,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sookhua</dc:creator>
  <cp:lastModifiedBy>Administrator</cp:lastModifiedBy>
  <dcterms:created xsi:type="dcterms:W3CDTF">2007-11-27T09:47:28Z</dcterms:created>
  <dcterms:modified xsi:type="dcterms:W3CDTF">2014-08-18T02:58:15Z</dcterms:modified>
</cp:coreProperties>
</file>